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vious projects" sheetId="1" r:id="rId3"/>
    <sheet state="visible" name="Sheet10" sheetId="2" r:id="rId4"/>
    <sheet state="visible" name="Classification - decision made " sheetId="3" r:id="rId5"/>
    <sheet state="visible" name="# of projects in each common mi" sheetId="4" r:id="rId6"/>
    <sheet state="visible" name="Project to be redone in F18" sheetId="5" r:id="rId7"/>
    <sheet state="visible" name="Priortity for redoing in S17" sheetId="6" r:id="rId8"/>
    <sheet state="visible" name="Other OSS project" sheetId="7" r:id="rId9"/>
  </sheets>
  <definedNames>
    <definedName hidden="1" localSheetId="0" name="Z_FFFA9780_FE0C_48B1_B941_390F089B565F_.wvu.FilterData">'Previous projects'!$H$1:$H$2293</definedName>
    <definedName hidden="1" localSheetId="2" name="Z_FFFA9780_FE0C_48B1_B941_390F089B565F_.wvu.FilterData">'Classification - decision made '!$R$1:$R$1065</definedName>
    <definedName hidden="1" localSheetId="0" name="Z_CE24E9EA_D809_48E8_B29D_47F9E8D45A69_.wvu.FilterData">'Previous projects'!$D$1:$D$2293</definedName>
    <definedName hidden="1" localSheetId="0" name="Z_16EFDDDF_95FE_4939_9F4F_18F86F2CDD78_.wvu.FilterData">'Previous projects'!$D$1:$D$2293</definedName>
  </definedNames>
  <calcPr/>
  <customWorkbookViews>
    <customWorkbookView activeSheetId="0" maximized="1" windowHeight="0" windowWidth="0" guid="{16EFDDDF-95FE-4939-9F4F-18F86F2CDD78}" name="Filter 2"/>
    <customWorkbookView activeSheetId="0" maximized="1" windowHeight="0" windowWidth="0" guid="{CE24E9EA-D809-48E8-B29D-47F9E8D45A69}" name="Filter 3"/>
    <customWorkbookView activeSheetId="0" maximized="1" windowHeight="0" windowWidth="0" guid="{FFFA9780-FE0C-48B1-B941-390F089B565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D256">
      <text>
        <t xml:space="preserve">YAMMID-07692805/162b82285b45f28a</t>
      </text>
    </comment>
    <comment authorId="0" ref="D257">
      <text>
        <t xml:space="preserve">YAMMID-07688203/162b8228463c1d0a</t>
      </text>
    </comment>
    <comment authorId="0" ref="D258">
      <text>
        <t xml:space="preserve">YAMMID-07686929/162b8226f44e3219</t>
      </text>
    </comment>
    <comment authorId="0" ref="D259">
      <text>
        <t xml:space="preserve">YAMMID-07687528/162b822708353af4</t>
      </text>
    </comment>
  </commentList>
</comments>
</file>

<file path=xl/sharedStrings.xml><?xml version="1.0" encoding="utf-8"?>
<sst xmlns="http://schemas.openxmlformats.org/spreadsheetml/2006/main" count="8828" uniqueCount="4572">
  <si>
    <t>Semester</t>
  </si>
  <si>
    <t>Project ID</t>
  </si>
  <si>
    <t>Project name</t>
  </si>
  <si>
    <t>User-IDs of team members</t>
  </si>
  <si>
    <t>Submitted Work</t>
  </si>
  <si>
    <t>Merged?</t>
  </si>
  <si>
    <t>Slated to possibly be merged</t>
  </si>
  <si>
    <t>Reuse</t>
  </si>
  <si>
    <t>Project Grade</t>
  </si>
  <si>
    <t>Design Doc- ument Grade</t>
  </si>
  <si>
    <t>Feedback on project</t>
  </si>
  <si>
    <t>Semester/team name</t>
  </si>
  <si>
    <t>Feedback on design doc</t>
  </si>
  <si>
    <t>Spring 2021 Final</t>
  </si>
  <si>
    <t>E2115</t>
  </si>
  <si>
    <t>Mentor management for assignments without topics</t>
  </si>
  <si>
    <t>bwanza (Wanza, Bahati)
yqiu9 (Qiu, Yi)
jmmolina (Melendez, Jose Molina)
rdsmith9 (Smith, Ryan)</t>
  </si>
  <si>
    <r>
      <rPr>
        <rFont val="Arial"/>
        <color rgb="FF986633"/>
        <sz val="10.0"/>
      </rPr>
      <t>https://expertiza.csc.ncsu.edu/index.php/CSC/ECE_517_Spring_2021_-_E2115._Mentor_management_for_assignments_without_topics</t>
    </r>
    <r>
      <rPr>
        <rFont val="Arial"/>
        <color rgb="FF986633"/>
        <sz val="10.0"/>
      </rPr>
      <t xml:space="preserve">
</t>
    </r>
    <r>
      <rPr>
        <rFont val="Arial"/>
        <color rgb="FF986633"/>
        <sz val="10.0"/>
      </rPr>
      <t>https://github.com/bahati2000/expertiza</t>
    </r>
    <r>
      <rPr>
        <rFont val="Arial"/>
        <color rgb="FF986633"/>
        <sz val="10.0"/>
      </rPr>
      <t xml:space="preserve">
</t>
    </r>
    <r>
      <rPr>
        <rFont val="Arial"/>
        <color rgb="FF986633"/>
        <sz val="10.0"/>
      </rPr>
      <t>https://github.com/expertiza/expertiza/pull/1957</t>
    </r>
    <r>
      <rPr>
        <rFont val="Arial"/>
        <color rgb="FF986633"/>
        <sz val="10.0"/>
      </rPr>
      <t xml:space="preserve">
</t>
    </r>
    <r>
      <rPr>
        <rFont val="Arial"/>
        <color rgb="FF986633"/>
        <sz val="10.0"/>
      </rPr>
      <t>https://www.youtube.com/watch?v=dWr4LVx228o%7CYoutube</t>
    </r>
  </si>
  <si>
    <t>Yes</t>
  </si>
  <si>
    <t>No</t>
  </si>
  <si>
    <t>The design is good, and the coding is very clear.  The requested functionality has been implemented.  On the downside, the tests are not extensive enough to show that the code does something reasonable in cases when the instructor fails to assign mentors, or where a team drops below the requisite strength because a member leaves it.  Bottom line: If the instructor knows how the code works, this will be a useful addition.  More development and testing is needed before it can be rolled out to a wider audience.</t>
  </si>
  <si>
    <t>The problem description is reasonable, but the code is not described.  This will make it hard for later teams to understand the code.</t>
  </si>
  <si>
    <t>E2114</t>
  </si>
  <si>
    <t>No choosers.</t>
  </si>
  <si>
    <t>E2113</t>
  </si>
  <si>
    <t>Enhancements to review grader</t>
  </si>
  <si>
    <t>akashya3 (Kashyap, Abhinav)
zpparks (Parks, Zach)
nsundar (Sundaraswamy, Nikhil)
svkumar2 (Sharath)</t>
  </si>
  <si>
    <t>https://expertiza.csc.ncsu.edu/index.php/CSC/ECE_517_Spring_2021_-_E2113._Enhancements_to_review_grader
https://github.com/zpparks314/expertiza
https://github.com/expertiza/expertiza/pull/1940
https://youtu.be/8zk08nHN2Mk</t>
  </si>
  <si>
    <t xml:space="preserve">We like the changes to the view.  They will facilitate grading reviews more accurately and in less time. The two issues that were not addressed is grade calculation (not part of the project) and testing (but this is a view project, so not many tests are necessary).  Scores could also be shown with bar graphs, but maybe there should be a project just on the graphs, since several projects have modified this functionality in ways that have corrupted earlier changes. </t>
  </si>
  <si>
    <t>Very good description of design strategy, and changes are nicely described and illustrated with screenshots.</t>
  </si>
  <si>
    <t>E2112</t>
  </si>
  <si>
    <t>Integrate suggestion detection algorithm</t>
  </si>
  <si>
    <t>hmkachha (Kachhadia, Harsh)
pmehta3 (Mehta, Parimal Rohan)
mjfarthi (Farthing, Jordan)
jchinch (Chinchkar, Jatin Pramod)</t>
  </si>
  <si>
    <t>https://expertiza.csc.ncsu.edu/index.php/CSC/ECE_517_Spring_2021_-_E2112._Integrate_Suggestion_Detection_Algorithm
https://github.com/expertiza/expertiza/pull/1952
https://github.com/harshkachhadia/expertiza/tree/beta
https://youtu.be/OYZvNVa3GZ8</t>
  </si>
  <si>
    <t xml:space="preserve">On the one hand, this project adds useful functionality to Expertiza.  On the other hand, there are a few rough edges.  The capability to give instant feedback to students is very important.  However, if that feedback is not quick, students are likely to skip requesting it.  At the moment, it is too slow.  This project could be merged in the expectation that it will be improved, but another alternative is to wait until later to merge, and in the interim to concentrate on removing the rough edges in the project.  
Two in particular should be fixed: The criteria are numbered in the view, and those numbers do not correspond to anything on the rubric form.  So if the rubric is long, it would be quite difficult for the reviewer to figure out what automated feedback referred to which comment.  Second, too much specific information on metrics is encoded into the text.  While some of the info is in configuration files, the help text for the info buttons is in the code.  Also, calls for each metric are programmed into the code, though, depending on how diverse they are, this is perhaps unavoidable.  Finally, we think the code can be more modularized. Currently there are many repetitive blocks of code. For ex; in _response_analysis.html for the getReviewFeedback(), the API call for each type of tag (sentiment, suggestion, etc) is being repeated. Only the API link differs there. So it might be more beneficial to store the API link in the config file and use the variable in the function. The code will be less repetitive. </t>
  </si>
  <si>
    <t>Very nice visuals, and nice display of the changes made.  The document clearly presents the work that was done.  My only sugestion would be to have a bit more detail for the files changed (not only, What does the class do? but also, What do the changes do?), and the tests could be described in prose too.</t>
  </si>
  <si>
    <t>E2111</t>
  </si>
  <si>
    <t>Refactor E1858, Github metrics integration</t>
  </si>
  <si>
    <t>smdupor (Dupor, Stevan)
jcui9 (Cui, Jialin)
jmhurst (Hurst, Jason)
wnsaid (Hanna, Waseem)</t>
  </si>
  <si>
    <t>https://expertiza.csc.ncsu.edu/index.php/CSC/ECE_517_Spring_2021_-_E2111._Refactor_github_metrics_integration
https://github.com/expertiza/expertiza/pull/1917
https://github.com/smdupor/expertiza/tree/E2111GithubMet
https://www.youtube.com/watch?v=WX7a4f767QI</t>
  </si>
  <si>
    <t>Worried about merging</t>
  </si>
  <si>
    <t>We have tried several times to get a reasonable implementation for this functionality, and this project appears to be one.  It has a very good visualization of contributions, and a way to collect team members' Github IDs.  There are some limitations: it doesn't report lines added and deleted because of lack of support from the API.  It adds quite a lot of lines of code (&gt; 1500) for a single project. But the code appears to be well structured.  And at present, the functionality cannot be turned off, meaning that every instructor who uses Expertiza for writing assignments in an English course would get a Github metrics report.</t>
  </si>
  <si>
    <t xml:space="preserve">This design doc begins beautifully, describing the background, the reasons for the changes, and the implementation strategy.  It would be much better if it showed the changes to the various classes and methods and described why they were made.  Also, there should be more information on the tests, such as a list describing each test. </t>
  </si>
  <si>
    <t>E2110</t>
  </si>
  <si>
    <t>Regulate changing of rubrics while projects are in progress</t>
  </si>
  <si>
    <t>nnhimes (Himes, Nicholas)
smaktha (Makthal, Surya)
jwboerge (Boerger, Jordan)
swupadr (Wupadrashta Dhinakara Subrahmanya, Sai Krishna)</t>
  </si>
  <si>
    <r>
      <rPr>
        <rFont val="Arial"/>
        <color rgb="FF986633"/>
        <sz val="10.0"/>
      </rPr>
      <t>https://expertiza.csc.ncsu.edu/index.php/CSC/ECE_517_Spring_2021_-_E2110._Regulate_changing_of_rubrics_while_projects_are_in_progress</t>
    </r>
    <r>
      <rPr>
        <rFont val="Arial"/>
        <color rgb="FF986633"/>
        <sz val="10.0"/>
      </rPr>
      <t xml:space="preserve">
</t>
    </r>
    <r>
      <rPr>
        <rFont val="Arial"/>
        <color rgb="FF986633"/>
        <sz val="10.0"/>
      </rPr>
      <t>https://github.com/expertiza/expertiza/pull/1941</t>
    </r>
    <r>
      <rPr>
        <rFont val="Arial"/>
        <color rgb="FF986633"/>
        <sz val="10.0"/>
      </rPr>
      <t xml:space="preserve">
</t>
    </r>
    <r>
      <rPr>
        <rFont val="Arial"/>
        <color rgb="FF986633"/>
        <sz val="10.0"/>
      </rPr>
      <t>https://youtu.be/yibtRg3MsyQ</t>
    </r>
    <r>
      <rPr>
        <rFont val="Arial"/>
        <color rgb="FF986633"/>
        <sz val="10.0"/>
      </rPr>
      <t xml:space="preserve">
</t>
    </r>
    <r>
      <rPr>
        <rFont val="Arial"/>
        <color rgb="FF986633"/>
        <sz val="10.0"/>
      </rPr>
      <t>https://github.com/BoergerJ/expertiza</t>
    </r>
  </si>
  <si>
    <t>yes</t>
  </si>
  <si>
    <t>Good features:
1. Questionnaires can be edited during the review phase. Popups are displayed if a row is added or deleted. If it is edited, emails are sent only to students who have already submitted the reviews.
2. If only the wording is changed, no email is sent (which is expected).
3. The emails sent contain the previous reviews submitted by the student.
4. After a questionnaire is updated, the old responses are deleted and the student is allowed to "Begin" review again.
Things that can be improved:
1. The content (old reviews) in the email are not formatted properly.
2. Code may be redundant for the find_review_period method.</t>
  </si>
  <si>
    <t>There are many diagrams to explain the flow. I would have liked to see more explanation of why all the files were changed.  Just saying "Here is a list ..." isn't very reassuring; it would have been better to see something like, "If a question is added or deleted, that affects the question itself and the questionnaire. When a reviewer needs to be sent a copy of a rubric, this means that content needs to be copied out of answer objects ..."  That would explain how the pieces fit together.  I also think that the test plan should have described what was done in the tests for each class.</t>
  </si>
  <si>
    <t>E2109</t>
  </si>
  <si>
    <t>Completion/Progress view</t>
  </si>
  <si>
    <t>skrish28 (Krishna, Sudarshana Lakshmi)
jpvillam (Villamor, JP)
mvenkat3 (Venkatesh, Muthu Kumar)
jwhostet (Hostetter, John)</t>
  </si>
  <si>
    <t>https://expertiza.csc.ncsu.edu/index.php/CSC/ECE_517_Spring_2021_-_E2109._Completion/Progress_view
https://youtu.be/IbU-BM-MA6Q
https://github.com/johnHostetter/expertiza/tree/e2109
https://github.com/expertiza/expertiza/pull/1960</t>
  </si>
  <si>
    <r>
      <rPr>
        <rFont val="Arial"/>
      </rPr>
      <t xml:space="preserve">Changes on UI are well done
Code regarding reviewee feedback seems to interfere with existing product, we lost data in the column next to it - one round of review score.
There's not much testing
Code on calculating average score is duplicated, there should be one and only one function to calculate average of anything using the </t>
    </r>
    <r>
      <rPr>
        <rFont val="Arial"/>
        <i/>
        <u/>
      </rPr>
      <t>responses</t>
    </r>
    <r>
      <rPr>
        <rFont val="Arial"/>
      </rPr>
      <t xml:space="preserve"> model</t>
    </r>
  </si>
  <si>
    <t>The design document seems based on editing and debugging the 2018 project.  It has not been updated to incorporate many of the changes made in their project, though I do see that it was edited on April 30. The other issue I see is that the design doc treats the 2018 project almost as a black box ... code that should be modified to get it running, without describing the design of that code.  The changes that this team made are described better, but to know how the code works, it would still be necessary to understand the 2018 project.</t>
  </si>
  <si>
    <t>Spring 2021 OSS</t>
  </si>
  <si>
    <t>E2108</t>
  </si>
  <si>
    <t>Refactor impersonate_controller.rb</t>
  </si>
  <si>
    <t>jmmolina (Melendez, Jose Molina)
skrish28 (Krishna, Sudarshana Lakshmi)
mvenkat3 (Venkatesh, Muthu Kumar)</t>
  </si>
  <si>
    <r>
      <rPr>
        <rFont val="Arial"/>
        <color rgb="FF986633"/>
        <sz val="10.0"/>
      </rPr>
      <t>https://github.com/expertiza/expertiza/pull/1907</t>
    </r>
    <r>
      <rPr>
        <rFont val="Arial"/>
        <color rgb="FF986633"/>
        <sz val="10.0"/>
      </rPr>
      <t xml:space="preserve">
</t>
    </r>
    <r>
      <rPr>
        <rFont val="Arial"/>
        <color rgb="FF986633"/>
        <sz val="10.0"/>
      </rPr>
      <t>https://expertiza.csc.ncsu.edu/index.php/CSE/ECE_517_Spring_2021_-_E2108._Impersonate_controller.rb</t>
    </r>
    <r>
      <rPr>
        <rFont val="Arial"/>
        <color rgb="FF986633"/>
        <sz val="10.0"/>
      </rPr>
      <t xml:space="preserve">
</t>
    </r>
    <r>
      <rPr>
        <rFont val="Arial"/>
        <color rgb="FF986633"/>
        <sz val="10.0"/>
      </rPr>
      <t>https://github.com/molinamelendezj/expertiza/pulls?q=is%3Apr+is%3Aclosed</t>
    </r>
    <r>
      <rPr>
        <rFont val="Arial"/>
        <color rgb="FF986633"/>
        <sz val="10.0"/>
      </rPr>
      <t xml:space="preserve">
</t>
    </r>
    <r>
      <rPr>
        <rFont val="Arial"/>
        <color rgb="FF986633"/>
        <sz val="10.0"/>
      </rPr>
      <t>http://152.7.99.103:8080/</t>
    </r>
  </si>
  <si>
    <t xml:space="preserve">They worked on top of the previous project. They solved the issue mentioned in the problem statement and also wrote a test case for it. The build passes. They could have used the helper methods for recognizing the TA and student privileges to make the code neater and coherent to the current code. </t>
  </si>
  <si>
    <t>The first thing I noticed was that the title omits the word "Refactor", which could cause trouble finding or understanding the page.  The description of the issues is pretty terse (e.g., "Block nesting"), doesn't really explain what needs to be changed.  The code snippets are pretty long relative to the explanation of changes made.  You could help the reader a lot to understand if you wrote a paragraph describing the changes and highlighted somehow (e.g., Github diff view) where the changes were made in the code.</t>
  </si>
  <si>
    <t>E2107</t>
  </si>
  <si>
    <t>Refactor grades_controller.rb</t>
  </si>
  <si>
    <t>mjfarthi (Farthing, Jordan)
bwanza (Wanza, Bahati)</t>
  </si>
  <si>
    <t>https://github.com/Jordan-Farthing/expertiza/tree/GradeControllerRefactoring
https://expertiza.csc.ncsu.edu/index.php/CSC/ECE_517_Spring_2021_-_E2107._Refactor_grades_controller.rb
https://github.com/expertiza/expertiza/pull/1914#partial-pull-merging
NameSizeTypeDate Modified Test_Controller.mp4 56619933 file 2021-03-18 17:45:17 -0400</t>
  </si>
  <si>
    <t>They successfully completed all my asks on the document and assignment, but they were never verified with tests. Their code is fine, I would not recommend merging based on the fact that they provided no manual test plan, nor any additional spec tests.</t>
  </si>
  <si>
    <t>The page is pretty well organized in what changes they made. Their pictures were not taken with a screenshot, instead were just taken with their phone camera. They didn't provide a manual test plan, which is problematic as we have no good way of verifying their changes without significant work involved.</t>
  </si>
  <si>
    <t>E2106</t>
  </si>
  <si>
    <t>Fix view in student_task/list page [was E2065]</t>
  </si>
  <si>
    <t>nsundar (Sundaraswamy, Nikhil)
svkumar2 (Sharath)</t>
  </si>
  <si>
    <r>
      <rPr>
        <rFont val="Arial"/>
        <color rgb="FF986633"/>
        <sz val="10.0"/>
      </rPr>
      <t>https://expertiza.csc.ncsu.edu/index.php/CSC/ECE_517_Spring_2021_-_E2106._Fix_view_in_student_task/list_page</t>
    </r>
    <r>
      <rPr>
        <rFont val="Arial"/>
        <color rgb="FF986633"/>
        <sz val="10.0"/>
      </rPr>
      <t xml:space="preserve">
</t>
    </r>
    <r>
      <rPr>
        <rFont val="Arial"/>
        <color rgb="FF986633"/>
        <sz val="10.0"/>
      </rPr>
      <t>https://github.com/sharathKV/expertiza</t>
    </r>
    <r>
      <rPr>
        <rFont val="Arial"/>
        <color rgb="FF986633"/>
        <sz val="10.0"/>
      </rPr>
      <t xml:space="preserve">
</t>
    </r>
    <r>
      <rPr>
        <rFont val="Arial"/>
        <color rgb="FF986633"/>
        <sz val="10.0"/>
      </rPr>
      <t>http://152.7.99.46:8080/</t>
    </r>
    <r>
      <rPr>
        <rFont val="Arial"/>
        <color rgb="FF986633"/>
        <sz val="10.0"/>
      </rPr>
      <t xml:space="preserve">
</t>
    </r>
    <r>
      <rPr>
        <rFont val="Arial"/>
        <color rgb="FF986633"/>
        <sz val="10.0"/>
      </rPr>
      <t>https://github.com/expertiza/expertiza/pull/1903</t>
    </r>
  </si>
  <si>
    <t>Need to take best of E2106 and E2065 for the merge</t>
  </si>
  <si>
    <t>They did only 2/3 tasks required. Did not get rid of the badges and courses column. Also, did not change the name of last column (publishing rights). I have emailed them to see if they've worked on it and haven't pushed the changes yet. Other than this the code looks clean and can be merged. Need to take best of E2106 and E2065 for the merge.</t>
  </si>
  <si>
    <t>This page would have been easier to follow if you had (1) numbered the issues in Section 2 (I changed it to a numbered list) and (2) mentioned briefly what you were addressing in Section 3 (not just "issue 2", but "issue 2, adding a checkbox for publishing rights").  Also, the code changes are described in the Functionality Testing section, which is not right.</t>
  </si>
  <si>
    <t>E2105</t>
  </si>
  <si>
    <t>Track the time students look at other submissions</t>
  </si>
  <si>
    <t>rdsmith9 (Smith, Ryan)
jwboerge (Boerger, Jordan)
yqiu9 (Qiu, Yi)</t>
  </si>
  <si>
    <r>
      <rPr>
        <rFont val="Arial"/>
        <color rgb="FF986633"/>
        <sz val="10.0"/>
      </rPr>
      <t>http://152.7.98.122:8080/</t>
    </r>
    <r>
      <rPr>
        <rFont val="Arial"/>
        <color rgb="FF986633"/>
        <sz val="10.0"/>
      </rPr>
      <t xml:space="preserve">
</t>
    </r>
    <r>
      <rPr>
        <rFont val="Arial"/>
        <color rgb="FF986633"/>
        <sz val="10.0"/>
      </rPr>
      <t>https://github.com/AvlWx2014/expertiza</t>
    </r>
    <r>
      <rPr>
        <rFont val="Arial"/>
        <color rgb="FF986633"/>
        <sz val="10.0"/>
      </rPr>
      <t xml:space="preserve">
</t>
    </r>
    <r>
      <rPr>
        <rFont val="Arial"/>
        <color rgb="FF986633"/>
        <sz val="10.0"/>
      </rPr>
      <t>https://github.com/expertiza/expertiza/pull/1898</t>
    </r>
    <r>
      <rPr>
        <rFont val="Arial"/>
        <color rgb="FF986633"/>
        <sz val="10.0"/>
      </rPr>
      <t xml:space="preserve">
</t>
    </r>
    <r>
      <rPr>
        <rFont val="Arial"/>
        <color rgb="FF986633"/>
        <sz val="10.0"/>
      </rPr>
      <t>https://expertiza.csc.ncsu.edu/index.php/CSE/ECE_517_Spring_2021_-_E2105._Track_the_time_students_look_at_other_submissions</t>
    </r>
  </si>
  <si>
    <t>Kai - Only if they could fix the things I mentioned in time</t>
  </si>
  <si>
    <r>
      <rPr>
        <rFont val="Arial"/>
      </rPr>
      <t xml:space="preserve">Sanket - This team has done a pretty good job, considering they had to go through the code of a previous team's final project and refactor it.  
They have used E2080's PR and tried to move a lot of the logic out of the js files and into controllers, which is quite helpful. The code itself is well commented. One thing I'm not sure about is their improvements to the schema, it seems that start_time and end_time render total_time redundant. Maybe I'm missing something and Kai can comment on this. They have added automated tests as welll. The build is currently erroring (not </t>
    </r>
    <r>
      <rPr>
        <rFont val="Arial"/>
        <i/>
      </rPr>
      <t xml:space="preserve">failing, </t>
    </r>
    <r>
      <rPr>
        <rFont val="Arial"/>
      </rPr>
      <t>which means it doesn't seem to be their fault) and Zhewei seems to have communicated on the PR regarding this. Overall, I think this was one of the more challenging projects as an OSS one simply due to its scope and the team has done a good job cleaning up E2080's code. 23 files were modified.</t>
    </r>
  </si>
  <si>
    <t>This page is very good, except that it does not show any of the changes to the code or explain them.  The high-level description is good, but the reader should be provided some insight into how the code was changed.</t>
  </si>
  <si>
    <t>E2104</t>
  </si>
  <si>
    <t>Email notification to reviewers and instructors</t>
  </si>
  <si>
    <t>hmkachha (Kachhadia, Harsh)
pmehta3 (Mehta, Parimal Rohan)
swupadr (Wupadrashta Dhinakara Subrahmanya, Sai Krishna)</t>
  </si>
  <si>
    <t>https://github.com/expertiza/expertiza/pull/1913
https://expertiza.csc.ncsu.edu/index.php/CSE/ECE_517_Spring_2021_-_E2104._Email_notification_to_reviewers_and_instructors
http://152.7.99.70:8080/</t>
  </si>
  <si>
    <t>Yes - They worked on the master branch, so it could be very easy to redo the project on beta</t>
  </si>
  <si>
    <t xml:space="preserve">First, the project is written on the master branch, not the beta.  The build is failing, as they are failing a test in has_paper_trail_spec.rb where the save call is throwing an error. The test they wrote themselves is fairly good, checking to ensure both the mail and the job are enqueued. There remains one Code Climate issue where the the perform method in mail_worker.rb is still a little too complicated, especially the condition being checked by the code. </t>
  </si>
  <si>
    <t>This page is very rudimentary.  It just gives the implementation approach, and does not show what changes have been made.  The Testing section has one paragraph repeated twice.</t>
  </si>
  <si>
    <t>E2103</t>
  </si>
  <si>
    <t>Refactor response_controller.rb</t>
  </si>
  <si>
    <t>jchinch (Chinchkar, Jatin Pramod)
akashya3 (Kashyap, Abhinav)
zpparks (Parks, Zach)</t>
  </si>
  <si>
    <t>http://152.7.98.115:8080/
https://expertiza.csc.ncsu.edu/index.php/CSC/ECE_517_Spring_2021_-_E2103._Refactor_response_controller.rb
https://github.com/zpparks314/expertiza
https://github.com/expertiza/expertiza/pull/1910
https://github.com/zpparks314/expertiza/projects/1
NameSizeTypeDate Modified ReadMe.txt 354 file 2021-03-19 20:20:37 -0400</t>
  </si>
  <si>
    <t>Perhaps.  A lot is left undone, but it works, and the code is better with this project incorporated than without.</t>
  </si>
  <si>
    <t>Moved some of the functions into response_rb (model file). The build passed. While there are a couple of tests written, they are shallow tests and don't really meaningfully test the changes made when refactoring. Removed the scores method, which was not used (the model method in response.rb was being used instead). Logic moved from new to populate_new_response, as requested.  But, as Code Climate points out, populate_new_response is still too complext.  The other tasks, such as renaming methods, adding comments, and moving logic into model was otherwise done, but some tests should probably be added before we merge.  A new class method has been defined, self.calibration_results_info.  It's not clear what functionality was moved into it, vs. left in show_calibration_results_for_student.  No new tests written.</t>
  </si>
  <si>
    <t>Very good description of what was done.  The paragraphs about each change are easily understandable.  I find the dark-background screenshots less readable than the default light-background changed code snippets from Github, but this is a minor issue.  The instructions on manual testing assume that the tester is using the anonymized db, which might not be true.</t>
  </si>
  <si>
    <t>E2102</t>
  </si>
  <si>
    <t>Refactor quiz_questionnaires_controller.rb</t>
  </si>
  <si>
    <t>nnhimes (Himes, Nicholas)
smaktha (Makthal, Surya)</t>
  </si>
  <si>
    <t>https://github.com/nnhimes/expertiza
https://github.com/expertiza/expertiza/pull/1899
https://expertiza.csc.ncsu.edu/index.php/CSC/ECE_517_Spring_2021_-_E2102._Refactor_quiz_questionnaires_controller.rb
http://152.7.99.72:8080/</t>
  </si>
  <si>
    <t>Basically did what was required.  Some things were not done, e.g., moving call at Line 133 to assignment_participant.  team_valid? is missing a method comment.  Only trivial changes to tests.  Build is passing.</t>
  </si>
  <si>
    <t>Very good point-by-point description of what was done.  Good to link to project board (but all issues have been resolved) and repo to view changes.  In Section 5, section headers are two-line sentences; a pithier heading should have been added.</t>
  </si>
  <si>
    <t>E2101</t>
  </si>
  <si>
    <t>Refactor questionnaires_controller.rb</t>
  </si>
  <si>
    <t>jpvillam (Villamor, JP)
jwhostet (Hostetter, John)
wnsaid (Hanna, Waseem)</t>
  </si>
  <si>
    <t>https://expertiza.csc.ncsu.edu/index.php/CSC/ECE_517_Spring_2021_-_E2101._Refactor_questionnaires_controller.rb
https://github.com/johnHostetter/expertiza/tree/beta
http://152.7.98.84:8080</t>
  </si>
  <si>
    <t>Made very few changes.  They did fix the unwarranted assumption that all items are graded on a scale of 1 to 5.  Moved a few  methods in questionniares_controller.  Hard to see what else has been changed.  Old code (Line 198) is commented out instead of being removed.  Most of the things they were supposed to do (see whether create_questionnaire was used, fix checks for QuizQuestionnaire, remove questionnaire_id parameter, fix if statements) have not been done.  Did not submit a pull request.  No tests written.  Build fails.</t>
  </si>
  <si>
    <t>In the problem statement, I don't see that you did some of the items that you said you did, e.g., removing a questionnaire_id parameter.  The diff (https://github.com/expertiza/expertiza/pull/1912/files) of the pull request shows that a "params" parameter has replaced questionnaire_id in delete_question, but that's the only change I see.  If anything was moved from the controller to the model, I missed it.  There are many discrepancies with what has actually been implemented in the pull request.  The design doc could help by showing (and describing) code, but it does not.
As far as the documentation is concerned, an introduction is needed to explain why the changes were made.  As it is, the prose jumps right into describing the methods without putting them in context.
Testing is not covered.</t>
  </si>
  <si>
    <t>E2100</t>
  </si>
  <si>
    <t>Tagging report for students</t>
  </si>
  <si>
    <t>smdupor (Dupor, Stevan)
jmhurst (Hurst, Jason)
jcui9 (Cui, Jialin)</t>
  </si>
  <si>
    <t>https://expertiza.csc.ncsu.edu/index.php/CSC/ECE_517_Spring_2021_-_E2100._Tagging_report_for_students
https://github.com/expertiza/expertiza/pull/1895
https://github.com/smdupor/expertiza/tree/beta
http://expertiza-tuffy-354839034.us-east-2.elb.amazonaws.com/</t>
  </si>
  <si>
    <t>They created a really good heat grid. Followed the existing color coding legend. Added “help” to inform about the color legend. Also fixed an existing bug on consulting with an expertiza developer. An improvement that could be done is that the heat grid is too long. In future, we can shorten it by removing the questions which are not enabled for tagging. The code is really well commented. Each function seems modular.</t>
  </si>
  <si>
    <t>This document could be easier to read.  While there is a flowchart, the overall flow is not described in words.  I can find nowhere that it tells all of the features that have been implemented.  The color code on the heatgrid is not described.  When functions are shown, they are shown as a whole, with no narration describing the parts, though there is a one-line caption above the code.</t>
  </si>
  <si>
    <t>2020 Fall Final</t>
  </si>
  <si>
    <t>E2087</t>
  </si>
  <si>
    <t>Conflict notification</t>
  </si>
  <si>
    <t>xchen33 (Chen, Xiwen)
achirasa (Hirasawa, Andrew Cale)
yjou (Jou, Yen-An)
xli56 (Li, Xinran)</t>
  </si>
  <si>
    <r>
      <rPr>
        <rFont val="Arial"/>
      </rPr>
      <t/>
    </r>
    <r>
      <rPr>
        <rFont val="Arial"/>
        <color rgb="FF1155CC"/>
        <u/>
      </rPr>
      <t>https://expertiza.csc.ncsu.edu/index.php/CSC/ECE_517_Fall_2020_-_E2087._Conflict_notification._Improve_Search_Facility_In_Expertiza#Test</t>
    </r>
    <r>
      <rPr>
        <rFont val="Arial"/>
      </rPr>
      <t xml:space="preserve"> 
</t>
    </r>
    <r>
      <rPr>
        <rFont val="Arial"/>
        <color rgb="FF1155CC"/>
        <u/>
      </rPr>
      <t>http://35.194.10.134:3000/</t>
    </r>
    <r>
      <rPr>
        <rFont val="Arial"/>
      </rPr>
      <t xml:space="preserve"> 
ht</t>
    </r>
    <r>
      <rPr>
        <rFont val="Arial"/>
        <color rgb="FF1155CC"/>
        <u/>
      </rPr>
      <t>tps://github.com/salmonandrew/expertiza</t>
    </r>
    <r>
      <rPr>
        <rFont val="Arial"/>
      </rPr>
      <t xml:space="preserve"> 
ht</t>
    </r>
    <r>
      <rPr>
        <rFont val="Arial"/>
        <color rgb="FF1155CC"/>
        <u/>
      </rPr>
      <t>tps://youtu.be/D_e80coRkLk</t>
    </r>
    <r>
      <rPr>
        <rFont val="Arial"/>
      </rPr>
      <t xml:space="preserve"> 
ht</t>
    </r>
    <r>
      <rPr>
        <rFont val="Arial"/>
        <color rgb="FF1155CC"/>
        <u/>
      </rPr>
      <t>tps://github.com/expertiza/expertiza/pull/1840</t>
    </r>
  </si>
  <si>
    <t>Good job with the implementation, the features work as intended. The main issues were DRY with some code that was rewritten for calculations while they already exist elsewhere in the system. Also, tests could have been more extensive (a feature spec testing out this scenario, for instance).</t>
  </si>
  <si>
    <t>The document is readable, and does a good job of explaining changes, especially to the UI.  I would have liked to see it cover more of the changes (less than 1/3 of the code changes, other than tests, were described), and also focus less on the previous implementation of the project, since readers are going to be interested in the functionality, not a previous project that was never merged.</t>
  </si>
  <si>
    <t>E2086</t>
  </si>
  <si>
    <t>Let course staff as well as students do reviews</t>
  </si>
  <si>
    <t>czhou6 (Zhou, Chenwei)
hzhang62 (Zhang, Hao)
zli82 (Li, Zhuolin)
twang33 (Wang, Tianrui)</t>
  </si>
  <si>
    <r>
      <rPr>
        <rFont val="Arial"/>
      </rPr>
      <t/>
    </r>
    <r>
      <rPr>
        <rFont val="Arial"/>
        <color rgb="FF1155CC"/>
        <u/>
      </rPr>
      <t>https://expertiza.csc.ncsu.edu/index.php/CSC/ECE_517_Fall_2020_-_E2086._Let_course_staff_as_well_as_students_do_reviews</t>
    </r>
    <r>
      <rPr>
        <rFont val="Arial"/>
      </rPr>
      <t xml:space="preserve"> 
</t>
    </r>
    <r>
      <rPr>
        <rFont val="Arial"/>
        <color rgb="FF1155CC"/>
        <u/>
      </rPr>
      <t>https://github.com/expertiza/expertiza/pull/1834</t>
    </r>
    <r>
      <rPr>
        <rFont val="Arial"/>
      </rPr>
      <t xml:space="preserve"> 
ht</t>
    </r>
    <r>
      <rPr>
        <rFont val="Arial"/>
        <color rgb="FF1155CC"/>
        <u/>
      </rPr>
      <t>tps://youtu.be/FyBfWrdX5Dk</t>
    </r>
    <r>
      <rPr>
        <rFont val="Arial"/>
      </rPr>
      <t xml:space="preserve"> </t>
    </r>
  </si>
  <si>
    <t>To allow instructors &amp; TAs to do reviews 
Creates assgt., adds participants, submits work, then instructor reviews.
On the student view, there is a guy-with-coat icon next to the instructor review.
Then after the deadline, the link changes to Assign Grade.
Rspec tests pass.
find_team_member should be an instance method, not a class method. [fixed]
The instructor can add a review to the submissions before the final deadline.
Students can distinguish which reviews are submitted by the instructor with the icon.
self.find_team_member(map), I wonder why it is made a class method instead of an instance method.
done_by_staff_participant should be an instance method of response. [fixed]
self.done_by_staff_participant?(review), I think it is related to the Response class more and therefore should be put in the Response class.
This functionality was presented in the demo and seems to be tested as well. Some methods should be instance methods rather than class methods as per design. But other than that, good job.
Testcases are long and should be broken down into smaller ones. Some methods should be instance methods rather than class methods as per design.</t>
  </si>
  <si>
    <t>The document is comprehensive and readable.  The list of team members is in the middle of the document, which is unusual.  The long partial _response_actions.html.erb should have been described in more detail (or divided into multiple partials).  Also, the rspec tests should have been described in more detail, by saying what is being tested.  However, these are minor points; overall, it is a very good job.</t>
  </si>
  <si>
    <t>E2085</t>
  </si>
  <si>
    <t>Allow reviewers to bid on what to review</t>
  </si>
  <si>
    <t>uahamed (Ahamed Adam, Ummu Kolusum Yasmin)
rpgraing (Grainger, Ryan)
lgdeloss (Delossantos, Luis Gabriel)
ceengen (Engen, Colleen Equilibria)</t>
  </si>
  <si>
    <r>
      <rPr>
        <rFont val="Arial"/>
        <color rgb="FF1155CC"/>
        <u/>
      </rPr>
      <t>https://expertiza.csc.ncsu.edu/index.php/CSC/ECE_517_Fall_2020_-_E2085._Allow_reviewers_to_bid_on_what_to_review#Design</t>
    </r>
    <r>
      <rPr>
        <rFont val="Arial"/>
      </rPr>
      <t xml:space="preserve"> 
</t>
    </r>
    <r>
      <rPr>
        <rFont val="Arial"/>
        <color rgb="FF1155CC"/>
        <u/>
      </rPr>
      <t>https://github.com/uahamedncsu/expertiza/tree/beta</t>
    </r>
    <r>
      <rPr>
        <rFont val="Arial"/>
      </rPr>
      <t xml:space="preserve"> 
ht</t>
    </r>
    <r>
      <rPr>
        <rFont val="Arial"/>
        <color rgb="FF1155CC"/>
        <u/>
      </rPr>
      <t>tps://github.com/uahamedncsu/IntelligentAssignment</t>
    </r>
    <r>
      <rPr>
        <rFont val="Arial"/>
      </rPr>
      <t xml:space="preserve"> 
ht</t>
    </r>
    <r>
      <rPr>
        <rFont val="Arial"/>
        <color rgb="FF1155CC"/>
        <u/>
      </rPr>
      <t>tps://www.screencast.com/t/GJNOcfa9Ln</t>
    </r>
    <r>
      <rPr>
        <rFont val="Arial"/>
      </rPr>
      <t xml:space="preserve"> 
ht</t>
    </r>
    <r>
      <rPr>
        <rFont val="Arial"/>
        <color rgb="FF1155CC"/>
        <u/>
      </rPr>
      <t>tps://github.com/expertiza/expertiza/pull/1822</t>
    </r>
    <r>
      <rPr>
        <rFont val="Arial"/>
      </rPr>
      <t xml:space="preserve">  </t>
    </r>
  </si>
  <si>
    <t>No, unless they have updated their code since the demo</t>
  </si>
  <si>
    <t>Great job on meeting all the requirements of the project. There were some DRY issues: Finding current phase may be a DRY violation
def self.reviewer_self_topic in review_bid must be DRY violation too
app/views/review_bids/_all_actions.html.erb  is modified from code that does topics bidding.
 Good number of tests are written. Keep it up!</t>
  </si>
  <si>
    <t xml:space="preserve">The code is described in detail and very well.  Motivation is provided for major design decisions.  Automated testing could be described in more detail.  It's not clear why "Algorithm" is capitalized.  Other random nouns are capitalized too.  </t>
  </si>
  <si>
    <t>E2084</t>
  </si>
  <si>
    <t>Sort instructor reports by name, ID, score, etc.</t>
  </si>
  <si>
    <t>rjcasano (Casano, Robert J)
laburges (Burgess, Luke Anthony)
mbgaffor (Gafford, Micah Bernard)
jwbumga2 (Bumgardner, John Wesley)</t>
  </si>
  <si>
    <r>
      <rPr>
        <rFont val="Arial"/>
      </rPr>
      <t/>
    </r>
    <r>
      <rPr>
        <rFont val="Arial"/>
        <color rgb="FF1155CC"/>
        <u/>
      </rPr>
      <t>http://expertiza.csc.ncsu.edu/index.php/CSC/ECE_517_Fall_2020_-_E2084_sort_instructor_reports_by_name_ID_score_etc</t>
    </r>
    <r>
      <rPr>
        <rFont val="Arial"/>
      </rPr>
      <t xml:space="preserve"> 
</t>
    </r>
    <r>
      <rPr>
        <rFont val="Arial"/>
        <color rgb="FF1155CC"/>
        <u/>
      </rPr>
      <t>https://github.com/expertiza/expertiza/pull/1845</t>
    </r>
    <r>
      <rPr>
        <rFont val="Arial"/>
      </rPr>
      <t xml:space="preserve"> 
ht</t>
    </r>
    <r>
      <rPr>
        <rFont val="Arial"/>
        <color rgb="FF1155CC"/>
        <u/>
      </rPr>
      <t>tp://152.7.98.231:8080/</t>
    </r>
    <r>
      <rPr>
        <rFont val="Arial"/>
      </rPr>
      <t xml:space="preserve"> 
ht</t>
    </r>
    <r>
      <rPr>
        <rFont val="Arial"/>
        <color rgb="FF1155CC"/>
        <u/>
      </rPr>
      <t>tps://youtu.be/uN2lifOT2CY</t>
    </r>
    <r>
      <rPr>
        <rFont val="Arial"/>
      </rPr>
      <t xml:space="preserve"> </t>
    </r>
  </si>
  <si>
    <t>Really good job on the project. The code is well commented and works as intended. The additional bugs solved as a part of this project also helps a lot. It could have used more testing, though.</t>
  </si>
  <si>
    <t>The prose is good.  I think the organization of the "What needs to be done" section is confusing.  The issues are listed, and then your goals for each are described.  It is not easy to see which problem is related to which solution.  It would be much easier if each problem and solution was juxtaposed.  The organization of subsections is inconsistent. Section 3.1 would have been clearer if there had been a subsection related to each file.  In general, varying styles and sizes of section headings make it hard to grasp the structure of the document.</t>
  </si>
  <si>
    <t>E2083</t>
  </si>
  <si>
    <t>Revision planning tool</t>
  </si>
  <si>
    <t>dyang23 (Yang, Dongni)
cmehta (Mehta, Chaitanya)
smehta22 (Mehta, Sidharth)
demadewe (Madewell, Darby Elizabeth)</t>
  </si>
  <si>
    <r>
      <rPr>
        <rFont val="Arial"/>
        <color rgb="FF1155CC"/>
        <sz val="10.0"/>
        <u/>
      </rPr>
      <t>https://expertiza.csc.ncsu.edu/index.php/CSC/ECE_517_Fall_2020_-_E2083._Revision_planning_tool_E2016</t>
    </r>
    <r>
      <rPr>
        <rFont val="Arial"/>
        <color rgb="FF1155CC"/>
        <sz val="10.0"/>
        <u/>
      </rPr>
      <t xml:space="preserve"> 
</t>
    </r>
    <r>
      <rPr>
        <rFont val="Arial"/>
        <color rgb="FF1155CC"/>
        <sz val="10.0"/>
        <u/>
      </rPr>
      <t>https://youtu.be/7pdz_A8vDkk</t>
    </r>
    <r>
      <rPr>
        <rFont val="Arial"/>
        <color rgb="FF1155CC"/>
        <sz val="10.0"/>
        <u/>
      </rPr>
      <t xml:space="preserve"> 
ht</t>
    </r>
    <r>
      <rPr>
        <rFont val="Arial"/>
        <color rgb="FF1155CC"/>
        <sz val="10.0"/>
        <u/>
      </rPr>
      <t>tps://github.com/expertiza/expertiza/pull/1832</t>
    </r>
    <r>
      <rPr>
        <rFont val="Arial"/>
        <color rgb="FF1155CC"/>
        <sz val="10.0"/>
        <u/>
      </rPr>
      <t xml:space="preserve"> 
ht</t>
    </r>
    <r>
      <rPr>
        <rFont val="Arial"/>
        <color rgb="FF1155CC"/>
        <sz val="10.0"/>
        <u/>
      </rPr>
      <t>tps://youtu.be/xWP1htuI</t>
    </r>
    <r>
      <rPr>
        <rFont val="Arial"/>
        <color rgb="FF1155CC"/>
        <sz val="10.0"/>
        <u/>
      </rPr>
      <t xml:space="preserve">Tm0 </t>
    </r>
  </si>
  <si>
    <t>Maybe, but low priority</t>
  </si>
  <si>
    <t>Students cannot edit the revision plan in the review phase so the review doesn't get changed while other students are reviewing. However, it assumes that reviews cannot be done during the submission phase. Code needs to be written to take care of this part.
Set up an assignment with 2 rounds of review.
Allow editing the revision-planning rubric just like editing a normal rubric, using a shared template
.Instructors and students can view the review report with the revision plan placed in a separate section.
In RevisionPlanQuestionnairesController, the method for determining who's on a team would be better located in team.rb.
The current_round method duplicates a method elsewhere in the system.
The generate_heatgrid has too many conditional statements. It would be better to split it into smaller methods.
A lot of code deals with score calculations, which shouldn't be a concern for this project.
Too many files are involved, although they seem to make reasonable decisions about their changes.
The code should have more comments.
The team had a good initial design but took as twice much as LoC compared to the previous teams.</t>
  </si>
  <si>
    <t>This is quite a long document, which covers the changes in detail.  However, I thought the parts of the document could have been better connected to each other.  For example, the modified and added files are just listed.  This is not very useful.  It would be better to divide them into categories and describe why each category is needed. When you describe the user interface, it would be very helpful to describe how the five modifications help achieve project goals, instead of expecting users to figure it out themselves. Migrate files are just shown, rather than explaining the need for a particular field in the db.  Automated tests are well described. For manual testing, it is helpful to include a few screenshots.</t>
  </si>
  <si>
    <t>E2082</t>
  </si>
  <si>
    <t>Track time between successive tag assignments</t>
  </si>
  <si>
    <t>tyeh3 (Yeh, Tsu-Hsin)
vvarada2 (Varadarajan, Varun)
ndviado (Viado, Nicholas)
jahorwit (Horwitz, Joshua Aaron)</t>
  </si>
  <si>
    <r>
      <rPr>
        <rFont val="Arial"/>
        <color rgb="FF000000"/>
        <sz val="10.0"/>
      </rPr>
      <t/>
    </r>
    <r>
      <rPr>
        <rFont val="Arial"/>
        <color rgb="FF1155CC"/>
        <sz val="10.0"/>
        <u/>
      </rPr>
      <t>https://expertiza.csc.ncsu.edu/index.php/CSC/ECE_517_Fall_2020_-_E2082._Track_time_between_successive_tag_assignments</t>
    </r>
    <r>
      <rPr>
        <rFont val="Arial"/>
        <color rgb="FF000000"/>
        <sz val="10.0"/>
      </rPr>
      <t xml:space="preserve"> 
</t>
    </r>
    <r>
      <rPr>
        <rFont val="Arial"/>
        <color rgb="FF1155CC"/>
        <sz val="10.0"/>
        <u/>
      </rPr>
      <t>https://github.com/expertiza/expertiza/pull/1848</t>
    </r>
    <r>
      <rPr>
        <rFont val="Arial"/>
        <color rgb="FF000000"/>
        <sz val="10.0"/>
      </rPr>
      <t xml:space="preserve"> 
ht</t>
    </r>
    <r>
      <rPr>
        <rFont val="Arial"/>
        <color rgb="FF1155CC"/>
        <sz val="10.0"/>
        <u/>
      </rPr>
      <t>tp://152.7.99.46:8080/</t>
    </r>
    <r>
      <rPr>
        <rFont val="Arial"/>
        <color rgb="FF000000"/>
        <sz val="10.0"/>
      </rPr>
      <t xml:space="preserve"> 
ht</t>
    </r>
    <r>
      <rPr>
        <rFont val="Arial"/>
        <color rgb="FF1155CC"/>
        <sz val="10.0"/>
        <u/>
      </rPr>
      <t>tps://youtu.be/vw6zJLMDXh4</t>
    </r>
    <r>
      <rPr>
        <rFont val="Arial"/>
        <color rgb="FF000000"/>
        <sz val="10.0"/>
      </rPr>
      <t xml:space="preserve"> </t>
    </r>
  </si>
  <si>
    <t xml:space="preserve">Good implementation.  Concerned about adding parameters to a couple of methods that already took 5 parameters.  Otherwise, design appears clean.  Better if the stats column could be moved to the right and resized; Would be great/perfect if some global stats could be added </t>
  </si>
  <si>
    <t>The document did not describe all changes in the project; specifically, there was no discussion of changes that were made by the previous team that they were building on.  This is very unfortunate, because someone who wants to understand what has been done would have to read about a project that has not been merged, and then try to understand which parts you kept and which you discarded.  Manual testing is described very well.</t>
  </si>
  <si>
    <t>E2081</t>
  </si>
  <si>
    <t>Add a "cake" item type to rubrics</t>
  </si>
  <si>
    <t>dtjordan (Jordan, Dylan Tyler)
rma9 (Ma, Ruoyun)
lhan6 (Han, Lige)
skollip (Kollipara, Siddhartha)</t>
  </si>
  <si>
    <r>
      <rPr>
        <rFont val="Arial"/>
        <color rgb="FF000000"/>
        <sz val="10.0"/>
      </rPr>
      <t/>
    </r>
    <r>
      <rPr>
        <rFont val="Arial"/>
        <color rgb="FF1155CC"/>
        <sz val="10.0"/>
        <u/>
      </rPr>
      <t>https://expertiza.csc.ncsu.edu/index.php/CSC/ECE_517_Fall_2020_-_E2081._Add_a_%22cake%22_item_type_to_rubrics</t>
    </r>
    <r>
      <rPr>
        <rFont val="Arial"/>
        <color rgb="FF000000"/>
        <sz val="10.0"/>
      </rPr>
      <t xml:space="preserve"> 
</t>
    </r>
    <r>
      <rPr>
        <rFont val="Arial"/>
        <color rgb="FF1155CC"/>
        <sz val="10.0"/>
        <u/>
      </rPr>
      <t>https://github.com/expertiza/expertiza/pull/1839</t>
    </r>
    <r>
      <rPr>
        <rFont val="Arial"/>
        <color rgb="FF000000"/>
        <sz val="10.0"/>
      </rPr>
      <t xml:space="preserve"> 
ht</t>
    </r>
    <r>
      <rPr>
        <rFont val="Arial"/>
        <color rgb="FF1155CC"/>
        <sz val="10.0"/>
        <u/>
      </rPr>
      <t>tps://youtu.be/g8OmQQRz5QM</t>
    </r>
    <r>
      <rPr>
        <rFont val="Arial"/>
        <color rgb="FF000000"/>
        <sz val="10.0"/>
      </rPr>
      <t xml:space="preserve"> </t>
    </r>
  </si>
  <si>
    <t>Creates an assignment with a cake review question.
Total contribution so far shows how many points can still be assigned to the current reviewer
Why aren’t negative values treated the same as values &gt; 100?  They are not sure either, except that negative values are illegal and high values need to be checked for.  [This has been fixed.]
Whatever value is left over is attributed to the reviewer “themself”.
There is a list of teammate review qq. and the amount of credit remaining for each (but this wasn’t finished).
response_controller calculates scores; this is an inappropriate function for a controller, especially one that deals with all reviews.
        This functionality should be moved to the model.  [It has been.]
The score calculation is hard to follow, with two methods that have 5 parameters each.
The project is partially done, one test case is commented out</t>
  </si>
  <si>
    <t>This is a very readable description of the changes made by this project.  Good descriptions are given of how the new methods work.  Would have liked to see you use subheadings, e.g., 3.1, 3.2, etc. to describe each of the files.</t>
  </si>
  <si>
    <t>E2080</t>
  </si>
  <si>
    <t>lcmcconn (McConnaughey, Luke Carter)
pbenite (Benitez-Villegas, Pedro)
rnair2 (Nair, Rohit Radhakrishnan)
sjha6 (Jha, Surbhi)</t>
  </si>
  <si>
    <r>
      <rPr>
        <rFont val="Arial"/>
        <color rgb="FF000000"/>
        <sz val="10.0"/>
      </rPr>
      <t/>
    </r>
    <r>
      <rPr>
        <rFont val="Arial"/>
        <color rgb="FF1155CC"/>
        <sz val="10.0"/>
        <u/>
      </rPr>
      <t>http://expertiza.csc.ncsu.edu/index.php/CSC/ECE_517_Fall_2020_-_E2080._Track_the_time_students_look_at_other_submissions</t>
    </r>
    <r>
      <rPr>
        <rFont val="Arial"/>
        <color rgb="FF000000"/>
        <sz val="10.0"/>
      </rPr>
      <t xml:space="preserve"> 
</t>
    </r>
    <r>
      <rPr>
        <rFont val="Arial"/>
        <color rgb="FF1155CC"/>
        <sz val="10.0"/>
        <u/>
      </rPr>
      <t>https://github.com/expertiza/expertiza/pull/1847</t>
    </r>
    <r>
      <rPr>
        <rFont val="Arial"/>
        <color rgb="FF000000"/>
        <sz val="10.0"/>
      </rPr>
      <t xml:space="preserve"> 
ht</t>
    </r>
    <r>
      <rPr>
        <rFont val="Arial"/>
        <color rgb="FF1155CC"/>
        <sz val="10.0"/>
        <u/>
      </rPr>
      <t>tp://drive.google.com/file/d/1RSIplHNjeaRa4KmSbQAd-dEKIn0D9b-c/view?usp=shari</t>
    </r>
    <r>
      <rPr>
        <rFont val="Arial"/>
        <color rgb="FF000000"/>
        <sz val="10.0"/>
      </rPr>
      <t xml:space="preserve">ng </t>
    </r>
  </si>
  <si>
    <t>Team did a good job of reducing the database accesses.  If that had been the whole project, they would have received a high grade.  However, multiple changes in many files were made by previous teams. When they pulled the Beta version they couldn't get it (Beta) goinging, which is why they used a number of snippets from the last team who worked on this. I would agree that they need to understand what they're refering better, while the prior team made several design mistakes. Decision on taking away these points are made based on that too, where they have limited explaination on how these snippets are organized, while their solution of keeping a local storage is indeed novel and they did verify that there's won't be any temporary storage file even after a broken session.</t>
  </si>
  <si>
    <t>The description is quite readable, and the diagrams are good.  The document considers only changes made by this team, not the code that was written for the previous project and is still present in their commit.  This would require the reader to consult the previous document in order to understand the changes made by this project.  Description of the classes changed is good, but it would have been better if prose had been written about the individual methods.</t>
  </si>
  <si>
    <t>E2079</t>
  </si>
  <si>
    <t>Improving search facility in Expertiza</t>
  </si>
  <si>
    <t>pyadla2 (Yadla, Prasanth)
jli56 (Li, Junyan)
acmahaja (Mahajan, Anjaney Chirag)
jbeerel (Beerel, Joshua)</t>
  </si>
  <si>
    <r>
      <rPr>
        <rFont val="Arial"/>
        <color rgb="FF1155CC"/>
        <sz val="10.0"/>
        <u/>
      </rPr>
      <t>https://expertiza.csc.ncsu.edu/index.php/CSC/ECE_517_Fall_2020_-_E2079._Improve_Search_Facility_In_Expertiza</t>
    </r>
    <r>
      <rPr>
        <rFont val="Arial"/>
        <color rgb="FF1155CC"/>
        <sz val="10.0"/>
        <u/>
      </rPr>
      <t xml:space="preserve"> 
</t>
    </r>
    <r>
      <rPr>
        <rFont val="Arial"/>
        <color rgb="FF1155CC"/>
        <sz val="10.0"/>
        <u/>
      </rPr>
      <t>http://152.46.18.218:8080/</t>
    </r>
    <r>
      <rPr>
        <rFont val="Arial"/>
        <color rgb="FF1155CC"/>
        <sz val="10.0"/>
        <u/>
      </rPr>
      <t xml:space="preserve"> 
ht</t>
    </r>
    <r>
      <rPr>
        <rFont val="Arial"/>
        <color rgb="FF1155CC"/>
        <sz val="10.0"/>
        <u/>
      </rPr>
      <t>tps://drive.google.com/file/d/1yr_4b0SsN_J4qGMpZbQLzKXzWAjoX7fV/view?usp=shari</t>
    </r>
    <r>
      <rPr>
        <rFont val="Arial"/>
        <color rgb="FF1155CC"/>
        <sz val="10.0"/>
        <u/>
      </rPr>
      <t xml:space="preserve">ng </t>
    </r>
  </si>
  <si>
    <t>Iff the changes to tree_display.jsx are reasonable</t>
  </si>
  <si>
    <t>For courses and assignments, Advanced Search opened up right away, taking up too much of the window.  I couldn't get questionnaire searches to work at all. It should be hidden by default. It's not clear what "Require a Quiz" means.  The code does not seem to be duplicated anymore, though. After you search, you need to click on the type of questionnaire to see the hits. Right now, on the beta branch, you CAN'T get it to open, so the video showed it on the master branch. Not clear if there would be a setting that would open it automatically. Users search evidently uses the same format as questionnaire search. Courses didn't because it was written by a different person. I asked them to fix that. “Username” and “Full Name” are bad choices; it should be “Name” and “Username” Many whitespace changes committed. SimpleTableRow apparently has changes that are not real changes. Changes to courses &amp; questionnaires were implemented in Javascript; users is handled in Rails. Really hard to figure out what was changed in tree_display.jsx, because so much code has been moved around.</t>
  </si>
  <si>
    <t>This document was not the easiest to read.  The changes for advanced review search should have been included.  Referring to the previous team's document makes it harder for the reader, who must flip back and forth.  Since the project was not merged, it is not useful to have future developers read about it.  For advanced questionnaire, assignment, and course search, the logic should have been described in more detail.  What are the various elements or methods in the views?  How do they fit together?  Many screenshots are segued together with no comments.  The reader would have to figure out what they are for.  I'm not sure why you said your automated tests could not pass.</t>
  </si>
  <si>
    <t>E2078</t>
  </si>
  <si>
    <t>Improve self-review Link peer review &amp; self-review to derive grades</t>
  </si>
  <si>
    <t>jkirsch (Kirschner, Justin)
jhnguye4 (Nguyen, Jonathan Hoang)
ctripoll (Ripoll, Courtney</t>
  </si>
  <si>
    <r>
      <rPr>
        <rFont val="Arial"/>
        <color rgb="FF1155CC"/>
        <sz val="10.0"/>
        <u/>
      </rPr>
      <t>https://expertiza.csc.ncsu.edu/index.php/CSC/ECE_517_Fall_2020_-_E2078._Improve_self-review_Link_peer_review_%26_self-review_to_derive_grades</t>
    </r>
    <r>
      <rPr>
        <rFont val="Arial"/>
        <color rgb="FF000000"/>
        <sz val="10.0"/>
      </rPr>
      <t xml:space="preserve"> 
</t>
    </r>
    <r>
      <rPr>
        <rFont val="Arial"/>
        <color rgb="FF1155CC"/>
        <sz val="10.0"/>
        <u/>
      </rPr>
      <t>https://github.com/jhnguye4/expertiza/tree/beta</t>
    </r>
    <r>
      <rPr>
        <rFont val="Arial"/>
        <color rgb="FF000000"/>
        <sz val="10.0"/>
      </rPr>
      <t xml:space="preserve"> 
ht</t>
    </r>
    <r>
      <rPr>
        <rFont val="Arial"/>
        <color rgb="FF1155CC"/>
        <sz val="10.0"/>
        <u/>
      </rPr>
      <t>tps://github.com/expertiza/expertiza/pull/1831</t>
    </r>
    <r>
      <rPr>
        <rFont val="Arial"/>
        <color rgb="FF000000"/>
        <sz val="10.0"/>
      </rPr>
      <t xml:space="preserve"> 
ht</t>
    </r>
    <r>
      <rPr>
        <rFont val="Arial"/>
        <color rgb="FF1155CC"/>
        <sz val="10.0"/>
        <u/>
      </rPr>
      <t>tps://www.youtube.com/watch?v=BYnhUNOTejs</t>
    </r>
    <r>
      <rPr>
        <rFont val="Arial"/>
        <color rgb="FF000000"/>
        <sz val="10.0"/>
      </rPr>
      <t xml:space="preserve"> </t>
    </r>
  </si>
  <si>
    <t>"Create a self-review assgt.  [“Self Reviews” should be “Self-review”]
They have implemented 1 or more (?) Vossen formulas for incorporating self-review.  The functions are well modularized, an improvement on earlier projects.
Variable names should be cleaner, need more testcases. Can add more formulas easily
Formula to integrate self-review grades into the overall grade. The formula option needs more comments.
Student cannot view own score until self-review is submitted
        Self-review is under “Your work,” which might be confusing (but better than the alternative …)
“Since the assgt. is now open, they can now submit their self-review”  [What are the preconditions?]
Not sure it is good to make self-review score such a wide column.
requesting_score parameter in assignment_participant is badly named.  That whole method is confusing.  requesting_score is cryptic in several methods.
Several conditional statements should have comments.
What does review varying by rounds have to do with self-review responses?
Self-reviews can be submitted only during a submission period.  This may be an unnecessary limitation.
They are not very familiar with code written by former team to do this project.  The changes made by this team are reasonable, but it was not reasonable to use another team's messy code without understanding it.
Good job, but cleaner design and coding style could have been followed. Need to add more testcases here</t>
  </si>
  <si>
    <t>The general approach is described quite well.  The description of the self/peer-review grade calculation is very clear.  The document contains all of the required parts.  However, there is not enough description of the code changes; in most cases, code diffs are just pasted in without further discussion.</t>
  </si>
  <si>
    <t>E2077</t>
  </si>
  <si>
    <t>sasepulv (Sepulveda, Santiago Andres)
jasanch3 (Sanchez, Javier Alexander)
srcapezz (Capezza, Skieler Rowdy)
ltdonova (Donovan, Liam Thomas)</t>
  </si>
  <si>
    <r>
      <rPr>
        <rFont val="Arial"/>
        <color rgb="FF000000"/>
        <sz val="10.0"/>
      </rPr>
      <t/>
    </r>
    <r>
      <rPr>
        <rFont val="Arial"/>
        <color rgb="FF1155CC"/>
        <sz val="10.0"/>
        <u/>
      </rPr>
      <t>https://expertiza.csc.ncsu.edu/index.php/CSC/ECE_517_Fall_2020_-_E2077._Mentor_management_for_assignments_without_topics_E2024</t>
    </r>
    <r>
      <rPr>
        <rFont val="Arial"/>
        <color rgb="FF000000"/>
        <sz val="10.0"/>
      </rPr>
      <t xml:space="preserve"> 
</t>
    </r>
    <r>
      <rPr>
        <rFont val="Arial"/>
        <color rgb="FF1155CC"/>
        <sz val="10.0"/>
        <u/>
      </rPr>
      <t>https://github.com/GitHubSanti/expertiza/tree/beta_project4</t>
    </r>
    <r>
      <rPr>
        <rFont val="Arial"/>
        <color rgb="FF000000"/>
        <sz val="10.0"/>
      </rPr>
      <t xml:space="preserve"> 
ht</t>
    </r>
    <r>
      <rPr>
        <rFont val="Arial"/>
        <color rgb="FF1155CC"/>
        <sz val="10.0"/>
        <u/>
      </rPr>
      <t>tps://youtu.be/RQJinX6gcrA</t>
    </r>
    <r>
      <rPr>
        <rFont val="Arial"/>
        <color rgb="FF000000"/>
        <sz val="10.0"/>
      </rPr>
      <t xml:space="preserve"> 
ht</t>
    </r>
    <r>
      <rPr>
        <rFont val="Arial"/>
        <color rgb="FF1155CC"/>
        <sz val="10.0"/>
        <u/>
      </rPr>
      <t>tps://github.com/expertiza/expertiza/pull/1826</t>
    </r>
    <r>
      <rPr>
        <rFont val="Arial"/>
        <color rgb="FF000000"/>
        <sz val="10.0"/>
      </rPr>
      <t xml:space="preserve"> </t>
    </r>
  </si>
  <si>
    <t>No; we don't need a new mentor table.</t>
  </si>
  <si>
    <t>Users who do not use the mentoring feature should not see it to be displayed. Instead of showing no mentor message on the display, simply hide it would be a better approach.
The can_mentor column is added to participants of all kind. Not every kind of participant uses the mentoring feature.
The 'can mentor' column on the 'add participants' page is too far to the right.
The team added the pry-rails gem to prettify the output which should be moved out.
The new assignment_mentors table functionality could be incorporated into the participants' table.
On the team information page, it would be nicer to place the mentor information under the list of participants as participants are what's most important to this team.
It would be better to allow staff members to manually add users as mentors instead of following a strict rule like only TA and instructors could be the mentor.
Some method names and variable names could be fixed to stick to the rails naming convention, e.g. get_can_mentor.
Some statement could be written in a more readable way, e.g. AssignmentTeamMentor.getAssignedMentor(@student.team[:id]) -&gt; @student.team.assigned_mentor and place the assigned_mentor method in the AssignmentTeam class.
Line 45 of the teams_users_controller, I see the AssignmentTeamMentor being constructed but not saved.
Too many files edited.</t>
  </si>
  <si>
    <t>The changes are comprehensively described.  However, the are described in the microcosm; there really isn't any prose explaining how the different modified files work together.  Some of the code snippets are pretty long and should be broken up so that prose descriptions can be given of the various methods implemented by the project.  In particular, the RSpec tests need more description.  In the description of manual testing, "after" screenshots are shown; "before" screenshots would have been helpful too.</t>
  </si>
  <si>
    <t>E2076</t>
  </si>
  <si>
    <t>Allow users to create an account and submit work to an "assignment" (e.g., for conference reviewing)</t>
  </si>
  <si>
    <t>agautam6 (Gautam, Amol)
smitra4 (Mitra, Sushreeta)
skumar32 (Kumar, Sneha)
pgupta25 (Gupta, Palash)</t>
  </si>
  <si>
    <r>
      <rPr>
        <rFont val="Arial"/>
        <color rgb="FF000000"/>
        <sz val="10.0"/>
      </rPr>
      <t xml:space="preserve">https://expertiza.csc.ncsu.edu/index.php/CSC/ECE_517_Fall_2020_-_E2076._Allow_users_to_create_an_account_and_submit_work_to_an_%22assignment%22_(e.g.,_for_conference_reviewing)  
</t>
    </r>
    <r>
      <rPr>
        <rFont val="Arial"/>
        <color rgb="FF1155CC"/>
        <sz val="10.0"/>
        <u/>
      </rPr>
      <t>https://youtu.be/-Eq-SMUVQOU</t>
    </r>
    <r>
      <rPr>
        <rFont val="Arial"/>
        <color rgb="FF000000"/>
        <sz val="10.0"/>
      </rPr>
      <t xml:space="preserve"> 
ht</t>
    </r>
    <r>
      <rPr>
        <rFont val="Arial"/>
        <color rgb="FF1155CC"/>
        <sz val="10.0"/>
        <u/>
      </rPr>
      <t>tps://github.com/expertiza/expertiza/pull/1844</t>
    </r>
    <r>
      <rPr>
        <rFont val="Arial"/>
        <color rgb="FF000000"/>
        <sz val="10.0"/>
      </rPr>
      <t xml:space="preserve"> 
ht</t>
    </r>
    <r>
      <rPr>
        <rFont val="Arial"/>
        <color rgb="FF1155CC"/>
        <sz val="10.0"/>
        <u/>
      </rPr>
      <t>tps://github.com/snkumar32/expertiza/tree/beta</t>
    </r>
    <r>
      <rPr>
        <rFont val="Arial"/>
        <color rgb="FF000000"/>
        <sz val="10.0"/>
      </rPr>
      <t xml:space="preserve"> </t>
    </r>
  </si>
  <si>
    <t>You select “will be used to review papers for a conference”, then create a conference assignment and then it gives you a link to submit.
You can send the link to someone who does, or does not, have an Expertiza acct.
They add a captcha so that bots cannot create such accounts.
If a user already has an account, if they click on the link, they automatically get added to that assgt. in Expertiza.
Once clicking on the link, an author can invite people to their team.
        You can invite Expertiza users by their ID, or others by their email address. Email address is used as an ID.
        Suppose they have an acct. &amp; you use their email address.  What happens then?  It checks whether the email address is the address of anyone in the system.
Created a new form for login; a separate controller controls it.
Modified 29 files; the ones that contain just comments should be removed, but there will still be about 25.  However, most of those are due to creation of views; hard to see how this # could be diminished much.
3 changes are requested
    include statement precedes class name, should follow it.
    DRY problem with creating authors, co-authors, other users should be removed
    "assignment conference" --&gt; "conference assignment"</t>
  </si>
  <si>
    <t>The document describes changes to implement a conference_controller and related functionality. Would have liked to see the screenshots organized in some way, instead of just "Here are some screen captures."  The screenshots cover only a small portion of the 634 lines of code you wrote, and the captions above them don't explain what the different methods do.</t>
  </si>
  <si>
    <t>E2075</t>
  </si>
  <si>
    <t>Calibration submissions should be copied along with calibration assignments</t>
  </si>
  <si>
    <t>nkashya (Kashyap, Nischal Badarinath)
draghun (Raghunathan, Dhanraj Vedanth)
mbachu (Bachu, Mounika)
apodila (Podila, Akshay)</t>
  </si>
  <si>
    <r>
      <rPr>
        <rFont val="Arial"/>
        <color rgb="FF1155CC"/>
        <sz val="10.0"/>
        <u/>
      </rPr>
      <t>https://expertiza.csc.ncsu.edu/index.php/CSC/ECE_517_Fall_2020_-_E2075._calibration_submissions_should_be_copied_along_with_calibration_assignments#Project_Overview</t>
    </r>
    <r>
      <rPr>
        <rFont val="Arial"/>
        <color rgb="FF000000"/>
        <sz val="10.0"/>
      </rPr>
      <t xml:space="preserve"> 
</t>
    </r>
    <r>
      <rPr>
        <rFont val="Arial"/>
        <color rgb="FF1155CC"/>
        <sz val="10.0"/>
        <u/>
      </rPr>
      <t>https://youtu.be/cyhy2mVXcPM</t>
    </r>
    <r>
      <rPr>
        <rFont val="Arial"/>
        <color rgb="FF000000"/>
        <sz val="10.0"/>
      </rPr>
      <t xml:space="preserve"> 
ht</t>
    </r>
    <r>
      <rPr>
        <rFont val="Arial"/>
        <color rgb="FF1155CC"/>
        <sz val="10.0"/>
        <u/>
      </rPr>
      <t>tps://github.com/expertiza/expertiza/pull/1856</t>
    </r>
    <r>
      <rPr>
        <rFont val="Arial"/>
        <color rgb="FF000000"/>
        <sz val="10.0"/>
      </rPr>
      <t xml:space="preserve"> </t>
    </r>
  </si>
  <si>
    <t>Need to review (PR is on master)
(Aqua color means we need to review the PR and it is not merged yet</t>
  </si>
  <si>
    <t>Yes, but not easy to merge, due to starting with old commit.</t>
  </si>
  <si>
    <t>We can reuse that</t>
  </si>
  <si>
    <t>The requested functionality has been implemented.
Reviews done by the creator of the assignment are copied, but only reviews that have been started.
So in the unlikely event that the author did any non-calibration reviews in the assignment being copied, those reviews would also be treated as calibration reviews (which is not necessarily wrong).
Submitted files are copied too, but ...
Project assumes that calibrations start at directory 0.  This is normally the case, but it will not be if any students submit before the calibration submissions are done.  OTOH, if the calibration submissions are done as part of the COPYING of the assignment, they will necessarily use directories 0, 1, ....  However, the submitter_count needs to be set to the largest directory number that was used for calibration, and this is not done.  So the first student to submit will have their submission show up in the same directory with the first calibration submission."
Several class methods in assignment_form.rb should be moved to different classes as instance methods in those classes.  Team has been requested to do this.
There are many instance variables.  Are these needed, or could they be local variables instead?
Video is 9 min. long.  But there are long waits for response during the copying, could have been edited out.</t>
  </si>
  <si>
    <t>Code changes are merely pasted into the document without any description.  This doesn't add much value over looking at a diff in Github.  This also applies to the test cases.  OTOH, the discussion of manual testing has screenshots that clearly illustrate the process.</t>
  </si>
  <si>
    <t>E2074</t>
  </si>
  <si>
    <t>Extensions to teammate review</t>
  </si>
  <si>
    <t>nlozevs (Lozevski, Noah Jonathan)</t>
  </si>
  <si>
    <r>
      <rPr>
        <rFont val="Arial"/>
        <color rgb="FF000000"/>
        <sz val="10.0"/>
      </rPr>
      <t/>
    </r>
    <r>
      <rPr>
        <rFont val="Arial"/>
        <color rgb="FF1155CC"/>
        <sz val="10.0"/>
        <u/>
      </rPr>
      <t>https://expertiza.csc.ncsu.edu/index.php/CSC/ECE_517_Fall_2020_-_E2074._Extensions_to_teammate_review</t>
    </r>
    <r>
      <rPr>
        <rFont val="Arial"/>
        <color rgb="FF000000"/>
        <sz val="10.0"/>
      </rPr>
      <t xml:space="preserve"> 
</t>
    </r>
    <r>
      <rPr>
        <rFont val="Arial"/>
        <color rgb="FF1155CC"/>
        <sz val="10.0"/>
        <u/>
      </rPr>
      <t>https://github.com/nlozevs/expertiza/tree/teammate_review</t>
    </r>
    <r>
      <rPr>
        <rFont val="Arial"/>
        <color rgb="FF000000"/>
        <sz val="10.0"/>
      </rPr>
      <t xml:space="preserve"> 
ht</t>
    </r>
    <r>
      <rPr>
        <rFont val="Arial"/>
        <color rgb="FF1155CC"/>
        <sz val="10.0"/>
        <u/>
      </rPr>
      <t>tp://ec2-3-21-125-253.us-east-2.compute.amazonaws.com:3000/</t>
    </r>
    <r>
      <rPr>
        <rFont val="Arial"/>
        <color rgb="FF000000"/>
        <sz val="10.0"/>
      </rPr>
      <t xml:space="preserve"> 
ht</t>
    </r>
    <r>
      <rPr>
        <rFont val="Arial"/>
        <color rgb="FF1155CC"/>
        <sz val="10.0"/>
        <u/>
      </rPr>
      <t>tps://drive.google.com/file/d/1YmNXf93SaqF_GOwjGahLubS_P5buf7R0/view?usp=sharing</t>
    </r>
    <r>
      <rPr>
        <rFont val="Arial"/>
        <color rgb="FF000000"/>
        <sz val="10.0"/>
      </rPr>
      <t xml:space="preserve"> </t>
    </r>
  </si>
  <si>
    <t>Need to commit Schema.rb</t>
  </si>
  <si>
    <t>Currently, can't add a deadline or due date to enforce teammate review.
There is no way to create an assignment that just has teammate review, and no submission.
Creates a new assgt.
Shows that when a team assgt. is enabled, there is a teammate-review deadline.
(Unfort. it is before the team formation deadline; I point that out &amp; he says OK.)
I think he sets the # of review rounds to 0 (missed it), then creates a teammate-review deadline.
Red dot in list of reviews signifies that the teammate review hasn't been completed.  [The UI could be improved.]
  The red dot should be to the right or in a separate cell or at the right.
assignments_controller.rb line 274 needs better comment
Needs to remove OSS project from this commit.</t>
  </si>
  <si>
    <t>Good job of motivating the changes, and describing them.  Not all of the code changes, e.g., assignment_helper, are covered in the document.  There is no plan for automated testing.  But the document is very clear.</t>
  </si>
  <si>
    <t>2020 Fall OSS</t>
  </si>
  <si>
    <t>E2073</t>
  </si>
  <si>
    <t>Refactor course_controller.rb</t>
  </si>
  <si>
    <t>nrgarner (Garner, Nicholas Ryan)
jhnguye4 (Nguyen, Jonathan Hoang)
sjha6 (Jha, Surbhi)</t>
  </si>
  <si>
    <r>
      <rPr>
        <rFont val="Arial"/>
      </rPr>
      <t/>
    </r>
    <r>
      <rPr>
        <rFont val="Arial"/>
        <color rgb="FF1155CC"/>
        <u/>
      </rPr>
      <t>http://152.7.98.255:8080</t>
    </r>
    <r>
      <rPr>
        <rFont val="Arial"/>
      </rPr>
      <t xml:space="preserve"> 
</t>
    </r>
    <r>
      <rPr>
        <rFont val="Arial"/>
        <color rgb="FF1155CC"/>
        <u/>
      </rPr>
      <t>https://expertiza.csc.ncsu.edu/index.php/CSC/ECE_517_Fall_2020_-_E2073._Refactor_course_controller.rb</t>
    </r>
    <r>
      <rPr>
        <rFont val="Arial"/>
      </rPr>
      <t xml:space="preserve"> 
ht</t>
    </r>
    <r>
      <rPr>
        <rFont val="Arial"/>
        <color rgb="FF1155CC"/>
        <u/>
      </rPr>
      <t>tps://github.com/expertiza/expertiza/pull/1760</t>
    </r>
    <r>
      <rPr>
        <rFont val="Arial"/>
      </rPr>
      <t xml:space="preserve"> </t>
    </r>
  </si>
  <si>
    <t xml:space="preserve">-The team has correctly refactored the controller name according to the rails convention.
-The message displayed when copying a course to existing directory makes a lot more sense than before.
-The issue of duplicate code in some of the methods of the controller has been properly fixed by creating separate methods.
-Overall all the problems mentioned in the problem statement have been correctly handled.
-'Courses' is spelt incorrectly in course_node_rb(line 5)
-Only two tests were added, but they seem enough to test the code changes added by them. However, the description for update test is a bit unclear.
-Build is passing, coverage is increasing
-Could not find the video of testing
-nrgarner seems to have done most of the code changes while jhnguye4 seems to have worked on tests. sjha6 has 0 commits.
</t>
  </si>
  <si>
    <t>Very good description of what you needed to do, and how you accomplished it.  Would have been improved if the Refactorings ("Refactors") section titles had included what changes were made ("Rename to courses_controller"), rather than just saying "Issue 1", etc.  The test plan could have had more prose description, like your refactorings had.</t>
  </si>
  <si>
    <t>E2072</t>
  </si>
  <si>
    <t>Refactor assignment_participant.rb</t>
  </si>
  <si>
    <t>mbgaffor (Gafford, Micah Bernard)
laburges (Burgess, Luke Anthony)
rjcasano (Casano, Robert J)</t>
  </si>
  <si>
    <r>
      <rPr>
        <rFont val="Arial"/>
      </rPr>
      <t/>
    </r>
    <r>
      <rPr>
        <rFont val="Arial"/>
        <color rgb="FF1155CC"/>
        <u/>
      </rPr>
      <t>https://expertiza.csc.ncsu.edu/index.php/CSC/ECE_517_Fall_2020/oss_E2072_RLM</t>
    </r>
    <r>
      <rPr>
        <rFont val="Arial"/>
      </rPr>
      <t xml:space="preserve"> 
</t>
    </r>
    <r>
      <rPr>
        <rFont val="Arial"/>
        <color rgb="FF1155CC"/>
        <u/>
      </rPr>
      <t>https://github.com/Micah-Gafford/expertiza/tree/beta</t>
    </r>
    <r>
      <rPr>
        <rFont val="Arial"/>
      </rPr>
      <t xml:space="preserve"> 
ht</t>
    </r>
    <r>
      <rPr>
        <rFont val="Arial"/>
        <color rgb="FF1155CC"/>
        <u/>
      </rPr>
      <t>tps://github.com/expertiza/expertiza/pull/1808</t>
    </r>
    <r>
      <rPr>
        <rFont val="Arial"/>
      </rPr>
      <t xml:space="preserve"> 
ht</t>
    </r>
    <r>
      <rPr>
        <rFont val="Arial"/>
        <color rgb="FF1155CC"/>
        <u/>
      </rPr>
      <t>tp://152.7.99.79:8080/</t>
    </r>
  </si>
  <si>
    <t>Refactored code is clear, and an appropriate number of comments have been added.
copy_participant should be named copy_to_course (that is more specific to what it is doing).
"Copy participants to course" does not work (for assgt. 827), crashes with 
"undefined method `copy' for #&lt;AssignmentParticipant:0x0000000d3a3d08&gt;
Extracted source (around line #124):
      course = assignment.course
      assignment.participants.each do |participant|
        new_participant = participant.copy(course.id)"
Although a reasonable number of new tests were written, test coverage has decreased (not clear why, though)
rcasano seems not to have done his share (only 3 commits)  However, no one reviewed his contribution.</t>
  </si>
  <si>
    <t>The URL does not contain the name of the project as required.  I didn't want to copy the whole page, but I did add the project title to the first line of the page.  The description of changes made is quite readable, but you simply boldfaced the names of the changes.  If you had made them section headers in Mediawiki markdown, they would have appeared in the table of contents, making it much easier to see at a glance what had been done.  Unlike the description of the refactorings, the description of the tests is not as detailed.  More prose describing how they would would have been helpful.</t>
  </si>
  <si>
    <t>E2071</t>
  </si>
  <si>
    <t>Improve assessment360_controller.rb</t>
  </si>
  <si>
    <t>jmmacdo4 (MacDonald, Jack Mitchell)
jasanch3 (Sanchez, Javier Alexander)
achirasa (Hirasawa, Andrew Cale)</t>
  </si>
  <si>
    <r>
      <rPr>
        <rFont val="Arial"/>
      </rPr>
      <t/>
    </r>
    <r>
      <rPr>
        <rFont val="Arial"/>
        <color rgb="FF1155CC"/>
        <u/>
      </rPr>
      <t>https://expertiza.csc.ncsu.edu/index.php/CSC/ECE_517_Fall_2020_-_E2071._Improve_assessment360_controller.rb</t>
    </r>
    <r>
      <rPr>
        <rFont val="Arial"/>
      </rPr>
      <t xml:space="preserve"> 
</t>
    </r>
    <r>
      <rPr>
        <rFont val="Arial"/>
        <color rgb="FF1155CC"/>
        <u/>
      </rPr>
      <t>http://152.7.98.252:8081/</t>
    </r>
    <r>
      <rPr>
        <rFont val="Arial"/>
      </rPr>
      <t xml:space="preserve"> 
ht</t>
    </r>
    <r>
      <rPr>
        <rFont val="Arial"/>
        <color rgb="FF1155CC"/>
        <u/>
      </rPr>
      <t>tps://github.com/salmonandrew/expertiza</t>
    </r>
    <r>
      <rPr>
        <rFont val="Arial"/>
      </rPr>
      <t xml:space="preserve"> 
ht</t>
    </r>
    <r>
      <rPr>
        <rFont val="Arial"/>
        <color rgb="FF1155CC"/>
        <u/>
      </rPr>
      <t>tps://github.com/expertiza/expertiza/pull/1816</t>
    </r>
  </si>
  <si>
    <t>Yes, but needs further refactoring to merge two displayed tables</t>
  </si>
  <si>
    <t>New code around lines 158-159 should have had comments; not clear what it is doing.
However, the new code does seem to be pretty clean.
Much new .html.erb code has been added; that's good, but shouldn't some have been deleted?
A few more comments needed, e.g., a method comment for all_students_all_reviews_all_grades
A reasonable amount of new tests have been written.
Select Columns popups should not use titlecase for statistic type "Instructor-assigned scores", "Peer grades", etc.
On the icons tableau for the assignment, they left in the old "Show aggregated teammate and meta-review scores", which is now redundant and should be removed.
The tables are nicely formatted.
However, Teammate-review scores (and Meta-review scores) appear in a separate table, below the other results.  In the two tables, the students appear in a different order, which would make it harder to merge the tables.  It would be better if all of the columns were in a single table.
achirasa did not do any commits.</t>
  </si>
  <si>
    <t>In the description of the changes, you gave only "after" snippets of the code.  It would be clearer if these were contrasted with "before" snippets, e.g., by using screenshots of the Github diff view.  Each change was described in a single sentence.  Often a more detailed description, explaining the strategy, would have been helpful.  The screenshots of the output also don't have prose describing what they show.  Test scenarios should have been included in the document.</t>
  </si>
  <si>
    <t>E2070</t>
  </si>
  <si>
    <t>czhou6 (Zhou, Chenwei)
xli56 (Li, Xinran)
twang33 (Wang, Tianrui)</t>
  </si>
  <si>
    <r>
      <rPr>
        <rFont val="Arial"/>
      </rPr>
      <t/>
    </r>
    <r>
      <rPr>
        <rFont val="Arial"/>
        <color rgb="FF1155CC"/>
        <u/>
      </rPr>
      <t>http://152.7.98.229:8080</t>
    </r>
    <r>
      <rPr>
        <rFont val="Arial"/>
      </rPr>
      <t xml:space="preserve"> 
</t>
    </r>
    <r>
      <rPr>
        <rFont val="Arial"/>
        <color rgb="FF1155CC"/>
        <u/>
      </rPr>
      <t>https://github.com/joeyzhou826/expertiza</t>
    </r>
    <r>
      <rPr>
        <rFont val="Arial"/>
      </rPr>
      <t xml:space="preserve"> 
ht</t>
    </r>
    <r>
      <rPr>
        <rFont val="Arial"/>
        <color rgb="FF1155CC"/>
        <u/>
      </rPr>
      <t>tps://expertiza.csc.ncsu.edu/index.php/CSC/ECE_517_Fall_2020_-_E2070._Refactor_response_controller.rb</t>
    </r>
    <r>
      <rPr>
        <rFont val="Arial"/>
      </rPr>
      <t xml:space="preserve"> 
ht</t>
    </r>
    <r>
      <rPr>
        <rFont val="Arial"/>
        <color rgb="FF1155CC"/>
        <u/>
      </rPr>
      <t>tps://github.com/expertiza/expertiza/pull/1765</t>
    </r>
    <r>
      <rPr>
        <rFont val="Arial"/>
      </rPr>
      <t xml:space="preserve"> </t>
    </r>
  </si>
  <si>
    <t>Did not add correct call to action_allowed, "current_user_has_super_admin_privileges?".
Comment at lines 224-227 of response_controller.rb explains how calibration works, not what is being shown by the show_calibration_results_for_student method.
Ditto for line 337: " #finding questionnaire of the exist response"  This comment does not tell us anything.
However, other comments are more relevant.
Some model-like code moved from controller to model.  Good to move it to the model, but since it is about getting questions, shouldn't it be in the question.rb class?
Code Climate has many beefs with this project, e.g., not putting close braces on the same line with code.
And reviewers report that the build has failed.
When I tested the code trying to update a review, it crashed immediately, with this message:
undefined method `updated_at' for nil:NilClass
Extracted source (around line #123):
    # Finding most recent submission
    most_recent_submission_by_reviewee = reviewee_team.most_recent_submission if reviewee_team
    if response.nil? || (most_recent_submission_by_reviewee and most_recent_submission_by_reviewee.updated_at &gt; input_response.updated_at)
      response = Response.create(map_id: input_map.id, additional_comment: '', round: input_current_round, is_submitted: 0)
    end</t>
  </si>
  <si>
    <t>There are good descriptions of the code changes, but some of the Github diffs have very small type and are thus hard to read.  Screenshots for show_calibration_page are just dropped into the narrative without any structure or explanation.  That is also true of the new method.  The description of the Rspec tests should be more detailed.</t>
  </si>
  <si>
    <t>E2069</t>
  </si>
  <si>
    <t>Refactor suggestion_controller.rb</t>
  </si>
  <si>
    <t>vvarada2 (Varadarajan, Varun)
dtjordan (Jordan, Dylan Tyler)
sasepulv (Sepulveda, Santiago Andres)</t>
  </si>
  <si>
    <r>
      <rPr>
        <rFont val="Arial"/>
      </rPr>
      <t/>
    </r>
    <r>
      <rPr>
        <rFont val="Arial"/>
        <color rgb="FF1155CC"/>
        <u/>
      </rPr>
      <t>https://github.com/expertiza/expertiza/pull/1768</t>
    </r>
    <r>
      <rPr>
        <rFont val="Arial"/>
      </rPr>
      <t xml:space="preserve"> 
</t>
    </r>
    <r>
      <rPr>
        <rFont val="Arial"/>
        <color rgb="FF1155CC"/>
        <u/>
      </rPr>
      <t>https://expertiza.csc.ncsu.edu/index.php/CSC/ECE_517_Fall_2020_-_E2069._refactor_suggestions_controller</t>
    </r>
    <r>
      <rPr>
        <rFont val="Arial"/>
      </rPr>
      <t xml:space="preserve"> 
ht</t>
    </r>
    <r>
      <rPr>
        <rFont val="Arial"/>
        <color rgb="FF1155CC"/>
        <u/>
      </rPr>
      <t>tps://github.com/GitHubSanti/expertiza</t>
    </r>
    <r>
      <rPr>
        <rFont val="Arial"/>
      </rPr>
      <t xml:space="preserve"> 
ht</t>
    </r>
    <r>
      <rPr>
        <rFont val="Arial"/>
        <color rgb="FF1155CC"/>
        <u/>
      </rPr>
      <t>tp://152.7.99.171:8080/</t>
    </r>
    <r>
      <rPr>
        <rFont val="Arial"/>
      </rPr>
      <t xml:space="preserve"> </t>
    </r>
  </si>
  <si>
    <t>No, Travis is not passing</t>
  </si>
  <si>
    <t>Yes, but after adding comments, specially for the view</t>
  </si>
  <si>
    <t>Project did not involve changes to functionality but rather pure refactoring, so I made sure no existing suggestion-related functionality is broken in their deployment (it isn't, everything works perfectly). 
Methods for team creation and sending mails were moved to appropriate classes. "approve" from signup controller was moved to sign_up_topic.rb model file and renamed to "new_topic_from_suggestion". I'm not sure what this is supposed to do from the name and the comment doesn't make it any clearer. 
When "create_new_team" was moved to assignment_team.rb, the associated "Todo" comment was also copied over, which doesn't make sense now and should have been replaced with a new comment describing what the method does. 
The DRY violation mentioned in the problem statement regarding views was fixed, but again there are no comments in this file. Appropriate tests were changed. Comments were later added, but they were not that good, according to Sanket.
Travis has errored, but it's not due to their changes. They notified me about this and have added a video showing the tests passing locally. 
All team members have contributed.</t>
  </si>
  <si>
    <t>Very good description of changes, and appropriate code snippets are shown.  Manual testing is shown with annotated screenshots, which are very useful.  In an Rspec test, sending email to an actual person's address is not a good practice.</t>
  </si>
  <si>
    <t>E2068</t>
  </si>
  <si>
    <t>kirsch (Kirschner, Justin)
ceengen (Engen, Colleen Equilibria)
demadewe (Madewell, Darby Elizabeth)</t>
  </si>
  <si>
    <r>
      <rPr>
        <rFont val="Arial"/>
      </rPr>
      <t/>
    </r>
    <r>
      <rPr>
        <rFont val="Arial"/>
        <color rgb="FF1155CC"/>
        <u/>
      </rPr>
      <t>http://152.7.98.81:8080</t>
    </r>
    <r>
      <rPr>
        <rFont val="Arial"/>
      </rPr>
      <t xml:space="preserve"> 
</t>
    </r>
    <r>
      <rPr>
        <rFont val="Arial"/>
        <color rgb="FF1155CC"/>
        <u/>
      </rPr>
      <t>https://expertiza.csc.ncsu.edu/index.php/CSC/ECE_517_Fall_2020_-_E2068._Refactor_quiz_questionnaires_controller.rb</t>
    </r>
    <r>
      <rPr>
        <rFont val="Arial"/>
      </rPr>
      <t xml:space="preserve"> 
ht</t>
    </r>
    <r>
      <rPr>
        <rFont val="Arial"/>
        <color rgb="FF1155CC"/>
        <u/>
      </rPr>
      <t>tps://github.com/Justin-Kirschner/expertiza/tree/beta</t>
    </r>
    <r>
      <rPr>
        <rFont val="Arial"/>
      </rPr>
      <t xml:space="preserve"> 
ht</t>
    </r>
    <r>
      <rPr>
        <rFont val="Arial"/>
        <color rgb="FF1155CC"/>
        <u/>
      </rPr>
      <t>tps://github.com/expertiza/expertiza/pull/1775</t>
    </r>
    <r>
      <rPr>
        <rFont val="Arial"/>
      </rPr>
      <t xml:space="preserve"> </t>
    </r>
  </si>
  <si>
    <t>They have made all the changes mentioned in the problem statement. The min and max question scores are being set according to the passed values in their deployment. They have also made an effort to handle edge cases like min score being greater than the max score as well as negative scores being entered. 
They have refactored the radio button and checkbox type question creation methods into one method cleanly. Creating TrueFalse type questions still have a different method, but that's beacause they are implemented differently and refactoring it into a common 'createquestion' method would require a complete change in the implementation (They did consult me about this and I think this decision is correct).
 All the team members have contributed. Relevant tests have been changed, the coverage has increased and the build passes. There is however, a lack of comments (the changes were not that difficult to understand, though).</t>
  </si>
  <si>
    <t>The wiki page is very well structured and explains the changes that have been made.  However, I think the descriptions of the code modifications are too terse, e.g., "shows the values from the form used in the controller" doesn't explain why two different groups of two lines were changed.  Test descriptions are adequate.</t>
  </si>
  <si>
    <t>E2067</t>
  </si>
  <si>
    <t>Refactor student_teams_controller.rb</t>
  </si>
  <si>
    <t>tyeh3 (Yeh, Tsu-Hsin)
rpgraing (Grainger, Ryan)
dyang23 (Yang, Dongni)</t>
  </si>
  <si>
    <r>
      <rPr>
        <rFont val="Arial"/>
      </rPr>
      <t/>
    </r>
    <r>
      <rPr>
        <rFont val="Arial"/>
        <color rgb="FF1155CC"/>
        <u/>
      </rPr>
      <t>https://github.com/ianyehwork/expertiza</t>
    </r>
    <r>
      <rPr>
        <rFont val="Arial"/>
      </rPr>
      <t xml:space="preserve"> 
</t>
    </r>
    <r>
      <rPr>
        <rFont val="Arial"/>
        <color rgb="FF1155CC"/>
        <u/>
      </rPr>
      <t>https://expertiza.csc.ncsu.edu/index.php/CSC/ECE_517_Fall_2020_-_E2067._Refactor_student_teams_controller.rb</t>
    </r>
    <r>
      <rPr>
        <rFont val="Arial"/>
      </rPr>
      <t xml:space="preserve"> </t>
    </r>
  </si>
  <si>
    <t xml:space="preserve">They have made all the changes mentioned in the problem statement. Comments have been added to all the mentioned statements. The modified code has improved the readability of the code. Also, some logic and methods were taken out from the student_teams_controller.rb controller file and moved to due_date.rb and waitlist.rb model files. But, no new rspec test cases have been added for the new helper method (student_team_requirements_met?) or the methods moved into the model files.  However, they did not write any tests.
All the teammates divided the work themselves and made a fair amount of contribution. All the tasks were properly defined and tracked using Git board. Travis CI built is passing for the pull request. 
</t>
  </si>
  <si>
    <t>Document looks good with relevant details and screenshot of the before and after code provided. Some of the section headings are hard to parse, e.g., "Refactor code from view function into may or may not be necessary to add a method to the DueDates class".  However, the descriptions of code changes are clear.  In the test plan they have just attached screenshot of the original rspec file without any explanation. They have mentioned potential refactorings in the "Future Work" section and for this controller file</t>
  </si>
  <si>
    <t>E2066</t>
  </si>
  <si>
    <t>Refactor lottery_controller.rb</t>
  </si>
  <si>
    <t>smehta22 (Mehta, Sidharth)
cmehta (Mehta, Chaitanya)</t>
  </si>
  <si>
    <r>
      <rPr>
        <rFont val="Arial"/>
      </rPr>
      <t/>
    </r>
    <r>
      <rPr>
        <rFont val="Arial"/>
        <color rgb="FF1155CC"/>
        <u/>
      </rPr>
      <t>https://expertiza.csc.ncsu.edu/index.php/CSC/ECE_517_Fall_2020_-_E2066._Refactor_lottery_controller.rb</t>
    </r>
    <r>
      <rPr>
        <rFont val="Arial"/>
      </rPr>
      <t xml:space="preserve"> 
</t>
    </r>
    <r>
      <rPr>
        <rFont val="Arial"/>
        <color rgb="FF1155CC"/>
        <u/>
      </rPr>
      <t>http://152.46.19.69:8080/</t>
    </r>
    <r>
      <rPr>
        <rFont val="Arial"/>
      </rPr>
      <t xml:space="preserve"> 
ht</t>
    </r>
    <r>
      <rPr>
        <rFont val="Arial"/>
        <color rgb="FF1155CC"/>
        <u/>
      </rPr>
      <t>tps://github.com/expertiza/expertiza/pull/1761</t>
    </r>
    <r>
      <rPr>
        <rFont val="Arial"/>
      </rPr>
      <t xml:space="preserve"> 
ht</t>
    </r>
    <r>
      <rPr>
        <rFont val="Arial"/>
        <color rgb="FF1155CC"/>
        <u/>
      </rPr>
      <t>tps://github.com/chaitanyamehta/expertiza</t>
    </r>
    <r>
      <rPr>
        <rFont val="Arial"/>
      </rPr>
      <t xml:space="preserve"> </t>
    </r>
  </si>
  <si>
    <t>- Overall, the team has done a very good job with the refactoring.
- The team claims to have found a bug in the existing implementation. The method 'merge_bids_from_different_previous_teams' is called once for each user in the team. They have changed it to one call per team.
- A few methods in the lottery_controller were more suited to be model methods. They have been approriately moved to bid and assignment model
- Additionally, following the DRY principle, a lot of duplicated code was replaced by calls to existing model methods.
- Although the team has added a tests, the overall code overage is slightly decreasing. They have attributed this to decrease in the number of lines
- The build is passing
- All members have contributed equally.</t>
  </si>
  <si>
    <t>Very good description of changes.  Where you titled subparts "Example 1" and "Example 2", you could have used more descriptive names.  Code sequences are shown in an easy-to-understand format, with irrelevant details elided.</t>
  </si>
  <si>
    <t>E2065</t>
  </si>
  <si>
    <t>Fix view in student_task/list page</t>
  </si>
  <si>
    <t>jli56 (Li, Junyan)
rma9 (Ma, Ruoyun)
xchen33 (Chen, Xiwen)</t>
  </si>
  <si>
    <r>
      <rPr>
        <rFont val="Arial"/>
      </rPr>
      <t/>
    </r>
    <r>
      <rPr>
        <rFont val="Arial"/>
        <color rgb="FF1155CC"/>
        <u/>
      </rPr>
      <t>https://expertiza.csc.ncsu.edu/index.php/CSC/ECE_517_Fall_2020_-_E2065._Fix_view_in_student_task/list_page</t>
    </r>
    <r>
      <rPr>
        <rFont val="Arial"/>
      </rPr>
      <t xml:space="preserve"> 
</t>
    </r>
    <r>
      <rPr>
        <rFont val="Arial"/>
        <color rgb="FF1155CC"/>
        <u/>
      </rPr>
      <t>https://github.com/jli56/expertiza</t>
    </r>
    <r>
      <rPr>
        <rFont val="Arial"/>
      </rPr>
      <t xml:space="preserve"> 
ht</t>
    </r>
    <r>
      <rPr>
        <rFont val="Arial"/>
        <color rgb="FF1155CC"/>
        <u/>
      </rPr>
      <t>tp://152.7.98.249:8080/</t>
    </r>
    <r>
      <rPr>
        <rFont val="Arial"/>
      </rPr>
      <t xml:space="preserve"> 
ht</t>
    </r>
    <r>
      <rPr>
        <rFont val="Arial"/>
        <color rgb="FF1155CC"/>
        <u/>
      </rPr>
      <t>tps://github.com/expertiza/expertiza/pull/1788</t>
    </r>
    <r>
      <rPr>
        <rFont val="Arial"/>
      </rPr>
      <t xml:space="preserve"> </t>
    </r>
  </si>
  <si>
    <t>&lt;% group = @student_tasks.group_by(&amp;:course).each do | course, student_tasks|%&gt;
    &lt;% if course%&gt;
    &lt;%end %&gt;
The ‘if course’ block seems redundant. The submission grade should be out of number_of_reviews_required (NEED TO CLARIFY). They have just commented out the old code rather than removing it.
In the spec/features/assignment_submission_spec.rb, the list_page function could be renamed as visit_list_page
The formatting seems a little basic and out of proportion 
They've edited a old test file and added one new test file, but it only contents basic display checks as the project does not involve changes to any functionality
They evidently removed the column for review grade, which should not have been done.  (The review grade is not available anywhere else in Expertiza.)  They needed to add a column for submission grade, but not remove the review grade.</t>
  </si>
  <si>
    <t>It is difficult to follow the changes for Problem 1.  The problem description is separated from the code snippet.  The new code is evidently inserted in the code shown above, but it's not clear where the new code resides.  A Github diff view would have been much clearer.  This is also true for Problem 2. The first change to tests needs to be described more fully.  The description of the second test is quite confusing and should be reworded.</t>
  </si>
  <si>
    <t>E2064</t>
  </si>
  <si>
    <t>Refactor reputation_web_service_controller.rb</t>
  </si>
  <si>
    <t>srcapezz (Capezza, Skieler Rowdy)
uahamed (Ahamed Adam, Ummu Kolusum Yasmin)
agupta38 (Gupta, Abhishek)</t>
  </si>
  <si>
    <t>Partially (2 issues not fixed)</t>
  </si>
  <si>
    <t>Can be reused</t>
  </si>
  <si>
    <t xml:space="preserve">Did not fix two issues mentioned in the documentation
Replace the method name from client to something else.
The password is still visible in the file.
Other than these two issues, all other issues are fixed.
Methods set_assignment, set_another_assignment, set_last_assignment_id seems redundant. Only one method should be used to do the tasks. At least some comments should be there explaining the need for those methods.
Other than these, all other changes look good, along with the spec file for testing. (Could not test by actually calling the web service from local, because of some authentication errors. But the Travis is passing.
</t>
  </si>
  <si>
    <t>The changes are for the most part clearly described.  When you say you "refactored" something "as follows," you could also describe the changes you made; that would make it easier to follow.  But, the code is still clearer than a lot of code in the system.</t>
  </si>
  <si>
    <t>E2063</t>
  </si>
  <si>
    <t>Refactor tree_display.js</t>
  </si>
  <si>
    <t>nlozevs (Lozevski, Noah Jonathan)
ltdonova (Donovan, Liam Thomas)</t>
  </si>
  <si>
    <r>
      <rPr>
        <rFont val="Arial"/>
        <color rgb="FF1155CC"/>
        <u/>
      </rPr>
      <t>https://expertiza.csc.ncsu.edu/index.php/CSC/ECE_517_Fall_2020_-_E2063._Refactor_tree-display.js_and_tree_display_controller.rb#Accomplishments</t>
    </r>
    <r>
      <rPr>
        <rFont val="Arial"/>
      </rPr>
      <t xml:space="preserve"> 
</t>
    </r>
    <r>
      <rPr>
        <rFont val="Arial"/>
        <color rgb="FF1155CC"/>
        <u/>
      </rPr>
      <t>https://github.com/nlozevs/expertiza/projects</t>
    </r>
    <r>
      <rPr>
        <rFont val="Arial"/>
      </rPr>
      <t xml:space="preserve"> 
ht</t>
    </r>
    <r>
      <rPr>
        <rFont val="Arial"/>
        <color rgb="FF1155CC"/>
        <u/>
      </rPr>
      <t>tp://ec2-18-222-147-163.us-east-2.compute.amazonaws.com:3000/</t>
    </r>
    <r>
      <rPr>
        <rFont val="Arial"/>
      </rPr>
      <t xml:space="preserve"> </t>
    </r>
  </si>
  <si>
    <t>Don't merge</t>
  </si>
  <si>
    <t xml:space="preserve">More comments are required.
Large amount of whitespace changes make it difficult to view the diff on GitHub
Tried to fix two issues that are currently there in the beta branch. The edit button now stays intact, though the edit button in front of the questionnaires is now gone. (Should we ask them to fix it?).
Not much refactoring is done, because they focused on the important functionality issues.
Other changes in the controller include commenting out a method which is unused.
</t>
  </si>
  <si>
    <t>tree_display_controller is used to display hierarchical items, such as assignments in different courses, or different kinds of questionnaires.  For Problem 2, no solution code is shown.  I found the solution of Problem 3 to be described confusingly.  You say, "Unused methods and functions were commented out."  Do you mean that you commented them out, or that you removed methods that had been commented out?  Examples 1 and 2 of code improvement don't show what was improved.  The testing sections are empty.</t>
  </si>
  <si>
    <t>E2062</t>
  </si>
  <si>
    <t>Add test cases to review_mapping_helper.rb</t>
  </si>
  <si>
    <t>rnair2 (Nair, Rohit Radhakrishnan)
ctripoll (Ripoll, Courtney)
pyadla2 (Yadla, Prasanth)</t>
  </si>
  <si>
    <r>
      <rPr>
        <rFont val="Arial"/>
      </rPr>
      <t/>
    </r>
    <r>
      <rPr>
        <rFont val="Arial"/>
        <color rgb="FF1155CC"/>
        <u/>
      </rPr>
      <t>https://expertiza.csc.ncsu.edu/index.php/CSC/ECE_517_Fall_2020_-_E2062._Add_test_cases_to_review_mapping_helper.rb</t>
    </r>
    <r>
      <rPr>
        <rFont val="Arial"/>
      </rPr>
      <t xml:space="preserve"> 
</t>
    </r>
    <r>
      <rPr>
        <rFont val="Arial"/>
        <color rgb="FF1155CC"/>
        <u/>
      </rPr>
      <t>https://github.com/ctripoll/expertiza/tree/beta</t>
    </r>
    <r>
      <rPr>
        <rFont val="Arial"/>
      </rPr>
      <t xml:space="preserve"> 
ht</t>
    </r>
    <r>
      <rPr>
        <rFont val="Arial"/>
        <color rgb="FF1155CC"/>
        <u/>
      </rPr>
      <t>tps://github.com/expertiza/expertiza/pull/1763</t>
    </r>
    <r>
      <rPr>
        <rFont val="Arial"/>
      </rPr>
      <t xml:space="preserve"> 
ht</t>
    </r>
    <r>
      <rPr>
        <rFont val="Arial"/>
        <color rgb="FF1155CC"/>
        <u/>
      </rPr>
      <t>tps://drive.google.com/file/u/1/d/1OS4yNI0fDGo4TlkOSxuWNgfMZ4D-XU2f/view</t>
    </r>
    <r>
      <rPr>
        <rFont val="Arial"/>
      </rPr>
      <t xml:space="preserve"> </t>
    </r>
  </si>
  <si>
    <t>The names get_team_color and obtain_team_color don't give any indication of how the methods serve different purposes. I suspect they should be recombined.  OTOH, it is good to factor out check_submission_state.
British spelling of color is still used in comments.
Comments like, "# Iterating though the list" and "# setting values of variables based on certain conditions" don't offer any insight on what is going on and should be replaced by comments that do.
Too many whitespace changes have been committed, chiefly inserting a space after an open brace "{".
No comment describes what has been changed in display_volume_metric.
In calculate_average_author_feedback_score, there's an assumption that there will be no more than three rounds.  In other places, the number of review rounds is held in a variable.  That should be done here, too.
The tests look good, though.  Most of the issues may be with the code that the previous refactoring left you with.  However, you could at least remove the whitespace changes.</t>
  </si>
  <si>
    <t>It is good that the tests have been divided into tested methods.  However, some methods have so many tests that they need more specific comments on particular tests.  This is especially true of get_team_color, and check_submitted_status.  The text at the top of the method is not detailed enough to describe what is going on in all these tests.</t>
  </si>
  <si>
    <t>E2061</t>
  </si>
  <si>
    <t>E2060</t>
  </si>
  <si>
    <t>Review report should link to the usual view for reviews</t>
  </si>
  <si>
    <t>draghun (Raghunathan, Dhanraj Vedanth)
lgdeloss (Delossantos, Luis Gabriel)</t>
  </si>
  <si>
    <r>
      <rPr>
        <rFont val="Arial"/>
      </rPr>
      <t/>
    </r>
    <r>
      <rPr>
        <rFont val="Arial"/>
        <color rgb="FF1155CC"/>
        <u/>
      </rPr>
      <t>https://expertiza.csc.ncsu.edu/index.php/CSC/ECE_517_Fall_2020_-_E2060._Review_report_should_link_to_the_usual_view_for_reviews</t>
    </r>
    <r>
      <rPr>
        <rFont val="Arial"/>
      </rPr>
      <t xml:space="preserve"> 
</t>
    </r>
    <r>
      <rPr>
        <rFont val="Arial"/>
        <color rgb="FF1155CC"/>
        <u/>
      </rPr>
      <t>https://github.com/lgdeloss/expertiza/tree/beta</t>
    </r>
    <r>
      <rPr>
        <rFont val="Arial"/>
      </rPr>
      <t xml:space="preserve"> 
ht</t>
    </r>
    <r>
      <rPr>
        <rFont val="Arial"/>
        <color rgb="FF1155CC"/>
        <u/>
      </rPr>
      <t>tps://github.com/lgdeloss/expertiza/projects/1</t>
    </r>
    <r>
      <rPr>
        <rFont val="Arial"/>
      </rPr>
      <t xml:space="preserve"> 
ht</t>
    </r>
    <r>
      <rPr>
        <rFont val="Arial"/>
        <color rgb="FF1155CC"/>
        <u/>
      </rPr>
      <t>tp://152.7.98.76:8080</t>
    </r>
    <r>
      <rPr>
        <rFont val="Arial"/>
      </rPr>
      <t xml:space="preserve"> 
ht</t>
    </r>
    <r>
      <rPr>
        <rFont val="Arial"/>
        <color rgb="FF1155CC"/>
        <u/>
      </rPr>
      <t>tps://github.com/expertiza/expertiza/pull/1805</t>
    </r>
    <r>
      <rPr>
        <rFont val="Arial"/>
      </rPr>
      <t xml:space="preserve"> </t>
    </r>
  </si>
  <si>
    <t>The team has done a good job with this. Code looks good and clean. It was a small change needed to fix this. They've added just one testcase which they have justified in the wiki doc. "Since the modifications are mostly on a view, a simple test would suffice."</t>
  </si>
  <si>
    <t>The section on "Issues with previous pull" is not explained.  It is not clear why the previous implementation needs to be described in the document for the new implementation.  Normally I don't like raw code dumped into the documentation, but here you are just doing it to show how bad the previous implementation was.  So I wouldn't complain about that, except that you really only need to document the changes you made, not the bad changes made by the previous team.  It would be good if the test plan included some screenshots.</t>
  </si>
  <si>
    <t>E2059</t>
  </si>
  <si>
    <t>acmahaja (Mahajan, Anjaney Chirag)
jahorwit (Horwitz, Joshua Aaron)
jbeerel (Beerel, Joshua)</t>
  </si>
  <si>
    <r>
      <rPr>
        <rFont val="Arial"/>
      </rPr>
      <t/>
    </r>
    <r>
      <rPr>
        <rFont val="Arial"/>
        <color rgb="FF1155CC"/>
        <u/>
      </rPr>
      <t>https://github.com/expertiza/expertiza/pull/1809</t>
    </r>
    <r>
      <rPr>
        <rFont val="Arial"/>
      </rPr>
      <t xml:space="preserve"> 
</t>
    </r>
    <r>
      <rPr>
        <rFont val="Arial"/>
        <color rgb="FF1155CC"/>
        <u/>
      </rPr>
      <t>https://expertiza.csc.ncsu.edu/index.php/CSC/ECE_517_Fall_2020_-_E2059._Email_notification_to_reviewers_and_instructors.rb</t>
    </r>
    <r>
      <rPr>
        <rFont val="Arial"/>
      </rPr>
      <t xml:space="preserve"> </t>
    </r>
  </si>
  <si>
    <t>A 250MB video shows the Rspec tests passing, but there is no deployment.  It doesn't show the changes to the mailer methods.  There need to be more comments.  It is not clear, for example, why "defn[:cc] = 'expertiza.development@gmail.com' if Rails.env.development? || Rails.env.test?" is inserted, right after "defn[to]" is set to the same value. 
There is no explanation of why changes have been made to several of the test methods, e.g., "is able to sbumit multiple valid links" and "should not submit duplicated link".
On this basis, we could not merge the project.  The code may work, but there has been a failure of communication.
It seems that jbeerel has done much of the work, perhaps most of the work, though it is not clear how much of jahorwitz's merged code is used.</t>
  </si>
  <si>
    <t>The documentation should cover more than the tests. The documentation is little more than a listing of the code for the tests, with an occasional one-paragraph description of what it does.  There really needs to be more narration.  For example, when you list appropriate tests, explain how the tests are performed.  The document should give a rationale for what you have written, and an overall description of how it works.</t>
  </si>
  <si>
    <t>E2058</t>
  </si>
  <si>
    <t>Two issues related to assignment management</t>
  </si>
  <si>
    <t>hzhang62 (Zhang, Hao)
lhan6 (Han, Lige)
zli82 (Li, Zhuolin)</t>
  </si>
  <si>
    <r>
      <rPr>
        <rFont val="Arial"/>
      </rPr>
      <t/>
    </r>
    <r>
      <rPr>
        <rFont val="Arial"/>
        <color rgb="FF1155CC"/>
        <u/>
      </rPr>
      <t>https://expertiza.csc.ncsu.edu/index.php/CSC/ECE_517_Fall_2020_-_E2058._Two_issues_related_to_assignment_management#Team</t>
    </r>
    <r>
      <rPr>
        <rFont val="Arial"/>
      </rPr>
      <t xml:space="preserve"> 
</t>
    </r>
    <r>
      <rPr>
        <rFont val="Arial"/>
        <color rgb="FF1155CC"/>
        <u/>
      </rPr>
      <t>https://github.com/expertiza/expertiza/pull/1796</t>
    </r>
    <r>
      <rPr>
        <rFont val="Arial"/>
      </rPr>
      <t xml:space="preserve"> 
ht</t>
    </r>
    <r>
      <rPr>
        <rFont val="Arial"/>
        <color rgb="FF1155CC"/>
        <u/>
      </rPr>
      <t>tp://152.7.99.26:8080/</t>
    </r>
    <r>
      <rPr>
        <rFont val="Arial"/>
      </rPr>
      <t xml:space="preserve"> </t>
    </r>
  </si>
  <si>
    <t>Yes, but only after fixing the profile text and adding an adequate explanation.</t>
  </si>
  <si>
    <t>My bad, I reviewed the wrong team for this.... WHAT'S GOOD: The other feature works okay, there's a button in profile page now. This button sets a flag in user's profile and determines whether all of the buttons would be displayed for assignement management page. This works. Testing was extensive. (+85 -10) They worked on the same Git account though. For the other issue on limiting movingf assignment, they did this by checking ta matching with the class and only dispay those that they're TA for.
However, the text displayed is very confusing.  Who would know what "Action Preference" meant?  There is no description as there is for the other items on this page.</t>
  </si>
  <si>
    <t>In most places, there is little descripton of the changes made. Code listings occupy at least 2/3 of the document.  It would be better to use the Github diff view; with the Mediawiki boxes, it is very hard to determine what has been changed.</t>
  </si>
  <si>
    <t>E2057</t>
  </si>
  <si>
    <t>Time travel Not Allowed..!!! Restrict TAs’ ability to change their own grade + limit file-size Upload</t>
  </si>
  <si>
    <t>pgupta25 (Gupta, Palash)
skumar32 (Kumar, Sneha)
yjou (Jou, Yen-An)</t>
  </si>
  <si>
    <r>
      <rPr>
        <rFont val="Arial"/>
      </rPr>
      <t/>
    </r>
    <r>
      <rPr>
        <rFont val="Arial"/>
        <color rgb="FF1155CC"/>
        <u/>
      </rPr>
      <t>http://152.7.99.140:8080/</t>
    </r>
    <r>
      <rPr>
        <rFont val="Arial"/>
      </rPr>
      <t xml:space="preserve"> 
</t>
    </r>
    <r>
      <rPr>
        <rFont val="Arial"/>
        <color rgb="FF1155CC"/>
        <u/>
      </rPr>
      <t>https://github.com/expertiza/expertiza/pull/1793</t>
    </r>
    <r>
      <rPr>
        <rFont val="Arial"/>
      </rPr>
      <t xml:space="preserve"> 
ht</t>
    </r>
    <r>
      <rPr>
        <rFont val="Arial"/>
        <color rgb="FF1155CC"/>
        <u/>
      </rPr>
      <t>tps://expertiza.csc.ncsu.edu/index.php/CSC/ECE_517_Fall_2020_-_E2057._Restrict_TAs%E2%80%99_ability_to_change_their_own_grade_and_limit_file-size_upload</t>
    </r>
    <r>
      <rPr>
        <rFont val="Arial"/>
      </rPr>
      <t xml:space="preserve"> </t>
    </r>
  </si>
  <si>
    <t>Not yet</t>
  </si>
  <si>
    <t>Yes (Added a new gem, merge and test)</t>
  </si>
  <si>
    <t>This is the best project implementation I have seen in OSS. They did extensive testing and there's a confirm rise of coverage. Validated TA not able to assign grades issue, their implementation is that if you're not a TA of a class then you cannot see the class, which, solves the issue. Out of Scope: I question the case of a person being both a student and a TA and do not think that would happen; As for file size and file type, they did 2 attempts, first utilizing javascript and verified it in front end. Since prior mentor determined this has to be done in back end then they shifted it into backend. Personally I do not like the idea from TA before me, for a very obvious reason: If you're testing a file in backend, then you have to have a file on server to be examed first. If this is a 1TB file, you would certainly be able to verify once it's up, while when it's up you're lossing considerable amont of disk spacs. I WOULD recommend merging this. (+116 -48)
However, the documentation says that TAs won't be able to ALTER grades in courses they are taking, but they shouldn't even be able to SEE them!</t>
  </si>
  <si>
    <t>The problem is described clearly, although it is really that the TA can both view and alter the grades for course(s) where (s)he has been a TA.  Not only alteration is a problem.  The "code addition" for view_team.html.erb should have prose describing what is done and why.  Most of the other changes and tests are better described.</t>
  </si>
  <si>
    <t>E2056</t>
  </si>
  <si>
    <t>Refactor and improve account_request_controller.rb</t>
  </si>
  <si>
    <t>mbachu (Bachu, Mounika)
nkashya (Kashyap, Nischal Badarinath)
spal3 (Pal, Sumitosh)</t>
  </si>
  <si>
    <r>
      <rPr>
        <rFont val="Arial"/>
      </rPr>
      <t/>
    </r>
    <r>
      <rPr>
        <rFont val="Arial"/>
        <color rgb="FF1155CC"/>
        <u/>
      </rPr>
      <t>https://github.ncsu.edu/nkashya/Account_Request_Project_OODD/projects/1</t>
    </r>
    <r>
      <rPr>
        <rFont val="Arial"/>
      </rPr>
      <t xml:space="preserve"> 
</t>
    </r>
    <r>
      <rPr>
        <rFont val="Arial"/>
        <color rgb="FF1155CC"/>
        <u/>
      </rPr>
      <t>https://expertiza.csc.ncsu.edu/index.php/CSC/ECE_517_Fall_2020_-_E2056_Account_Request_Controller.rb</t>
    </r>
    <r>
      <rPr>
        <rFont val="Arial"/>
      </rPr>
      <t xml:space="preserve"> 
ht</t>
    </r>
    <r>
      <rPr>
        <rFont val="Arial"/>
        <color rgb="FF1155CC"/>
        <u/>
      </rPr>
      <t>tps://github.com/expertiza/expertiza/pull/1773</t>
    </r>
    <r>
      <rPr>
        <rFont val="Arial"/>
      </rPr>
      <t xml:space="preserve"> 
</t>
    </r>
  </si>
  <si>
    <t>If it works reliably on server</t>
  </si>
  <si>
    <t>I tried to request an account.  When I did, I encountered an exception page.  Then I tried to check whether the request had been received. After the server was restarted twice, I was able to get it to work.  So I do not trust the code. 
create_requested_user is 47 lines long, which seems too much.  Some branches of the _if_ might be made into private methods.
list_pending_request_finalized needs a method comment!  Couldn't it be given a simpler name?
In fact, none of the names except new are the standard CRUD names.  But they could be.
create_requested_user_record needs a real method comment.
That said, they did add comments and clean up the code.
The "Self-introduction" box should say, "Explain why you want an account."
The improvement in functionality is done a bit better than the refactoring.
Size of commit is very reasonable (+176 -107).
They added one test and removed two.
All members seem to have contributed.</t>
  </si>
  <si>
    <t>The document is not very readable.  The test plan precedes the outline of the solution.  The solution has 8 subsections, which is too many, and also, the outline is not clear.  That is the most serious issue. Too much of the formatting is ad hoc.  They number their lists manually, and not always with the same leader.</t>
  </si>
  <si>
    <t>E2055</t>
  </si>
  <si>
    <t>Write unit tests for student_task.rb</t>
  </si>
  <si>
    <t>jwbumga2 (Bumgardner, John Wesley)
lcmcconn (McConnaughey, Luke Carter)
pbenite (Benitez-Villegas, Pedro)</t>
  </si>
  <si>
    <r>
      <rPr>
        <rFont val="Arial"/>
      </rPr>
      <t/>
    </r>
    <r>
      <rPr>
        <rFont val="Arial"/>
        <color rgb="FF1155CC"/>
        <u/>
      </rPr>
      <t>https://expertiza.csc.ncsu.edu/index.php/CSC/ECE_517_Fall_2020_-_E2055_write_unit_tests_for_student_task.rb</t>
    </r>
    <r>
      <rPr>
        <rFont val="Arial"/>
      </rPr>
      <t xml:space="preserve"> 
</t>
    </r>
    <r>
      <rPr>
        <rFont val="Arial"/>
        <color rgb="FF1155CC"/>
        <u/>
      </rPr>
      <t>https://github.com/expertiza/expertiza/pull/1811</t>
    </r>
    <r>
      <rPr>
        <rFont val="Arial"/>
      </rPr>
      <t xml:space="preserve"> </t>
    </r>
  </si>
  <si>
    <t xml:space="preserve">They have written extensive tests for pretty much all the scenarios, after creating appropriate mocks. They have increased the coverage for this file to 91.5%. 
Tests for get_timeline_data are shallow, also mentioned in their wiki. The names for the tests are good as well. 
The tests are well commented, which solves the problem the previous implementation had. 
They did reuse some tests which were done by the previous team after consulting with me since it made sense to include them . 
They have included a video in their wiki showing all the tests passing and the Travis build passes as well. All the team members have contributed to the project. </t>
  </si>
  <si>
    <t>This document consists mostly of code snippets.  It does help the reader understand what has been added, but it could have been done more clearly.  First, you could have used subheadings in Mediawiki markdown to list the tests, e.g., as sections 6.1, 6.2, etc.  These headings would have been in the table of contents, which would make it easier to find things.  Second, you give a one-line description of what each test tests.  In some cases, comments in the test itself describe its workings in more detail, but in other cases, the reader would have to read the code to figure it out.  It would be considerably easier if you wrote a couple of sentences to describe the strategy used in the test, e.g., as in the comments for "describe "content_submitted_in_current_stage?" ".</t>
  </si>
  <si>
    <t>E2054</t>
  </si>
  <si>
    <t>Auto-generate submission directory names based on assignment names</t>
  </si>
  <si>
    <t>ndviado (Viado, Nicholas)
apodila (Podila, Akshay)</t>
  </si>
  <si>
    <r>
      <rPr>
        <rFont val="Arial"/>
      </rPr>
      <t xml:space="preserve"> </t>
    </r>
    <r>
      <rPr>
        <rFont val="Arial"/>
        <color rgb="FF1155CC"/>
        <u/>
      </rPr>
      <t>https://expertiza.csc.ncsu.edu/index.php/CSC/ECE_517_Fall_2020_-_E2054._Auto_generate_submission_directory_names_based_on_assignment_names</t>
    </r>
    <r>
      <rPr>
        <rFont val="Arial"/>
      </rPr>
      <t xml:space="preserve"> 
</t>
    </r>
    <r>
      <rPr>
        <rFont val="Arial"/>
        <color rgb="FF1155CC"/>
        <u/>
      </rPr>
      <t>https://github.com/ndviado/expertiza</t>
    </r>
    <r>
      <rPr>
        <rFont val="Arial"/>
      </rPr>
      <t xml:space="preserve"> 
</t>
    </r>
    <r>
      <rPr>
        <rFont val="Arial"/>
        <color rgb="FF1155CC"/>
        <u/>
      </rPr>
      <t>http://152.7.99.132:8080/</t>
    </r>
    <r>
      <rPr>
        <rFont val="Arial"/>
      </rPr>
      <t xml:space="preserve"> </t>
    </r>
  </si>
  <si>
    <t>Yes, after removing unnecessary changes</t>
  </si>
  <si>
    <t>The auto-generated directory name follows the guidelines (replace spaces in name with underscores). The issue the previous project had with editing the assignment name after creation has been solved.
I tried changing the assignment name and the directory name changed accordingly. There is a check added to prevent duplicate assignment directory names as well.
All the commits are done by ndviado, but they have mentioned in this post that apodila's commits were done by ndviado. 
There are relevant new tests added and existing tests changed. The build has errored due to some Travis issue on their pull request but it has passed on their forked repo and they have a video showing tests passing (though it shows only one spec file).
There are some changes they made to solve the Travis issue which are not part of their project and need to be removed.</t>
  </si>
  <si>
    <t>At the start, it would have been helpful to explain WHY auto-generated submission directories are necessary.
The statement, "When creating a course, if the assignment name is a duplicate, it will reset the entire form" is not clear; why would an assignment reset the course-creation form, and anyway, completly resetting the whole form because the instructor types the wrong value into a single field seems like a harsh penalty.  Also, the statement is repeated, as fixes #2 and #3.
There are quite a few misspellings, e.g., "Assignemnts"
The "Before" and "After" code snippets are harder to read than if you took a screenshot from the Github diff view, which would show clearly what lines have been changed.
Manual testing should say to type in the instructor name.  "instructor6" is only the instructor name if someone is working with the de-identified db, which wouldn't be the case if someone is testing a production system.
OTOH, there are good prose descriptions of changes, and copious screenshots.</t>
  </si>
  <si>
    <t>E2053</t>
  </si>
  <si>
    <t>E2052</t>
  </si>
  <si>
    <t>Remove multiple topics at a time (Issue #1409)</t>
  </si>
  <si>
    <t>smitra4 (Mitra, Sushreeta)
agautam6 (Gautam, Amol)
skollip (Kollipara, Siddhartha)</t>
  </si>
  <si>
    <r>
      <rPr>
        <rFont val="Arial"/>
      </rPr>
      <t/>
    </r>
    <r>
      <rPr>
        <rFont val="Arial"/>
        <color rgb="FF1155CC"/>
        <u/>
      </rPr>
      <t>https://expertiza.csc.ncsu.edu/index.php/CSC/ECE_517_Fall_2020_-_E2052._Remove_multiple_topics_at_a_time</t>
    </r>
    <r>
      <rPr>
        <rFont val="Arial"/>
      </rPr>
      <t xml:space="preserve"> 
</t>
    </r>
    <r>
      <rPr>
        <rFont val="Arial"/>
        <color rgb="FF1155CC"/>
        <u/>
      </rPr>
      <t>https://github.com/expertiza/expertiza/pull/1785</t>
    </r>
    <r>
      <rPr>
        <rFont val="Arial"/>
      </rPr>
      <t xml:space="preserve"> 
ht</t>
    </r>
    <r>
      <rPr>
        <rFont val="Arial"/>
        <color rgb="FF1155CC"/>
        <u/>
      </rPr>
      <t>tp://152.7.99.94:8080/</t>
    </r>
    <r>
      <rPr>
        <rFont val="Arial"/>
      </rPr>
      <t xml:space="preserve"> </t>
    </r>
  </si>
  <si>
    <t>Button added is different from the links on the page. Not clear how hard it would be to fix this. Other than this, the functionality seems to be working as required. Need more comments. Tests added look good</t>
  </si>
  <si>
    <t>Document is readable with a good outline for the contents. A couple more relevant screenshots of system before the changes would have been good. Some streamlining needed in the doc (It contains all the relevant information but not arranged the way it should be).  OTOH, there are very good descriptions of the code changes that have been made, and the snippets are short enough to be readable.  This will be a big help to anyone who follows on to this project.</t>
  </si>
  <si>
    <t>E2051</t>
  </si>
  <si>
    <t>E2050</t>
  </si>
  <si>
    <t>2020 Spring Final</t>
  </si>
  <si>
    <t>E2026</t>
  </si>
  <si>
    <t>Specialized rubrics for different topic types (e.g., Servo project, refactoring project)</t>
  </si>
  <si>
    <t>aupadhy3 (Upadhyaya Ghimire, Abhishek)
dbell5 (dbell5)
stgreen (Green, Steven)</t>
  </si>
  <si>
    <t>https://github.com/abhishekupadhyaya/expertiza https://github.com/expertiza/expertiza/pull/1720 https://youtu.be/3Ns3DYGtJdQ http://wiki.expertiza.ncsu.edu/index.php/CSC/ECE_517_Spring_2020_E2026._Specialized_rubrics_for_different_topic_types</t>
  </si>
  <si>
    <t>Yes, but check whether DRY and whether build passes (see eval rubric)</t>
  </si>
  <si>
    <t xml:space="preserve">1. They wrote new code in assignment_questionnaire/assignment_form model. It should be cleaned up to fix the DRY problem.
2. They identified the problem as the previous project didn't save rubrics (it was that the tests didn't pass).
3. They changed the test cases according to the code modifications.
4. On top of the original code, now, different rubrics are being saved for different topics. They can provide an updated video showing how the rubrics can be saved for multiple different topics
</t>
  </si>
  <si>
    <t>The explanations are reasonable at first glance, but I think they depend too much on being familiar with the E1936 design.  One example is the Database Flow section.  The statement, "We will be re-adding the database flow that was added in the previous implementation, linking sign_up_topic to assignment_questionnaire via a topic_id field." is not clear, and the table below does not help to elucidate it.  Then it discusses the vary_by_round and vary_by_topic fields, referrring the reader to the previous design doc.  It would be much better if this document were self-contained.  That said, though, other aspects are well written.</t>
  </si>
  <si>
    <t>E2025</t>
  </si>
  <si>
    <t>Issues related to meta-reviewing</t>
  </si>
  <si>
    <t>cmfoley2 (Foley, Colin) pjloheid (Loheide, PJ) rphollow (Holloway, Rick) wbanders (Anderson, Brooks)</t>
  </si>
  <si>
    <t>https://expertiza.csc.ncsu.edu/index.php/CSC/ECE_517_Spring_2020_-_E2025:_Issues_Related_to_Meta_-_Reviewing https://github.com/RPHolloway/expertiza https://github.com/expertiza/expertiza/pull/1715 https://youtu.be/uWmmqOFeXM8</t>
  </si>
  <si>
    <t xml:space="preserve">Yes, but look at style problems with code they inherited, and magic #s need to be replaced by constants. </t>
  </si>
  <si>
    <t>Great job on fixing the broken Meta-reviews functionality and the demo! Although there are some rough edges to the implementation, your project can be merged into Expertiza after a little refining. The issues we observed in the implementations were: 
1. You pulled some code from the previous team's [Team 1997] implementation. The meta-review issues are fixed, but a few bugs from their code are re-introduced (e.g. a 'p' below all text areas on the UI in the review form.)
2. There are white space commits which need to be removed.
3. The font size for "Meta-reviews for.." seems to be larger than the ones in the "Reviews for.." section.
4. The response_controller.rb seems to be a little complicated.
5. metareview_available method in assignment.rb is possibly a bad design.
6. There are few magic numbers which are used as default values like "3" in the project. 
7. Line 633 in older commit was `t.string "feedback", limit: 255` which was removed by the team in your commit. However, no one could explain why was it removed. It did not come from the previous team's commits/code.
The testing part was good and you added quite a few test cases! The bulid passed too.</t>
  </si>
  <si>
    <t>The format is very clear and easy to understand.  Most of the changes are described with sufficient detail.  An exception is #27, where very long code sequences are shown with little prose description. Other than that, you did a great job.</t>
  </si>
  <si>
    <t>E2024</t>
  </si>
  <si>
    <t>mramani (Ramani, Mohnish) ranbazh (Anbazhagan, Rajan) sganapa4 (Raman, Sreenidhi Ganapathi) thwinter (Winter, Thomas)</t>
  </si>
  <si>
    <t>http://152.46.19.64:8080/ https://expertiza.csc.ncsu.edu/index.php/CSC/ECE_517_E2024_Mentor_management_for_assignments_without_topics https://github.com/expertiza/expertiza/pull/1718 https://github.com/rajan3010/expertiza/tree/mentor_manage https://youtu.be/DRs6-jcxBFI</t>
  </si>
  <si>
    <t>Redone in Spring 2021 and merged</t>
  </si>
  <si>
    <t xml:space="preserve">There seems to be some gap between the implementation and what was presented. It is great to buiild on top of previous projects but there must've been reasons why the previous projects didn't get merged. Working with the assumption that whatever was done earlier defeats the purpose of redoing the project.Good effort but there were a lot of pending issues. Code was merged from the previous team, but not refactored, so a lot of unused code remained. Follow better naming convention for methods (Half? is not a self explanatory name). Some redundant code in the views which can be DRYed out. More tests are needed. </t>
  </si>
  <si>
    <t>I would prefer that you not start with what the last team did, because this means that to understand your work, someone needs to read the previous design doc.  In the listing of files modified, it would be very helpful to say why they needed to be modified, and what changes were made. The test plan should describe the tests that you modified or reverted.</t>
  </si>
  <si>
    <t>E2023</t>
  </si>
  <si>
    <t>cgmorris (Morris, Christian) hhleroy (LeRoy, Hartley) jamcdon3 (McDonald, John) tsattle (Sattler, Tyler)</t>
  </si>
  <si>
    <t>https://expertiza.csc.ncsu.edu/index.php/CSC/ECE_517_Spring_2020_/_E2023_Track_the_Time_Students_Look_at_Other_Submissions https://github.com/expertiza/expertiza/pull/1728/commits https://github.com/jamcdon3/expertiza/tree/E2023_2 https://www.youtube.com/watch?v=vyidgf4sjcg</t>
  </si>
  <si>
    <t>Possibly, but needs some work first.</t>
  </si>
  <si>
    <t>Great job on the functionality and the demo. There are some issues with code: 1. @l isn't very informative as the reader can't understand what it does without a comment and there is no comment explaining that. 2. submission_viewing_events_controller is not an appropriate name.Suggested patch: Pause tracking time with window is closed</t>
  </si>
  <si>
    <t>The narrative portion of this document is fine.  It is descriptive and easy to read.  The listing of files edited should be more than just a list of filenames.  At the least, it should have a link to the Github diff view for the file.  That would not be hard to add.  The test plan should describe the tests, not just say, one test for this, two tests for that.</t>
  </si>
  <si>
    <t>E2022</t>
  </si>
  <si>
    <t>Allow reviewer to say review can be shown to class as an example</t>
  </si>
  <si>
    <t>akhot (Khot, Ayush) anbhatta (Bhattacharyya, Akanksha) jsabari (Sabarimuthu, Jasmine Madonna) ssujal (Sujal, Sujal)</t>
  </si>
  <si>
    <r>
      <rPr>
        <rFont val="Calibri, sans-serif"/>
        <color rgb="FF000000"/>
        <sz val="11.0"/>
      </rPr>
      <t xml:space="preserve">https://drive.google.com/drive/folders/1bQyvIO92696SBOzWqTnyaAwd5qAK-Nwm?usp=sharing https://expertiza.csc.ncsu.edu/index.php/CSC/ECE_517_Spring_2020/E2022_Allow_reviewer_to_say_review_can_be_shown_to_class_as_an_example </t>
    </r>
    <r>
      <rPr>
        <rFont val="Calibri, sans-serif"/>
        <color rgb="FF1155CC"/>
        <sz val="11.0"/>
        <u/>
      </rPr>
      <t>https://github.com/expertiza/expertiza/pull/1725</t>
    </r>
    <r>
      <rPr>
        <rFont val="Calibri, sans-serif"/>
        <color rgb="FF000000"/>
        <sz val="11.0"/>
      </rPr>
      <t xml:space="preserve">  </t>
    </r>
    <r>
      <rPr>
        <rFont val="Calibri, sans-serif"/>
        <color rgb="FF1155CC"/>
        <sz val="11.0"/>
        <u/>
      </rPr>
      <t>https://github.com/khotAyush/expertiza/tree/e2022/sample-reviews</t>
    </r>
    <r>
      <rPr>
        <rFont val="Calibri, sans-serif"/>
        <color rgb="FF000000"/>
        <sz val="11.0"/>
      </rPr>
      <t xml:space="preserve"> </t>
    </r>
  </si>
  <si>
    <t>The changes requested at the demo have been made.  
Pros:
1. Expertiza takes student's consent to display their reviews as examples. By default, all reviews are private.
2. It allows the instructor to mark and unmark a review as an example.
3. They used an algorithm to display all similar assignments of courses from different years. (Extra feature)
4. Sample Review link displays all approved reviews.
5. It makes sense to make the new sample_reviews_controller.rb. The code looks good. New files are added as needed.
(Minor) Cons:
1. Scores are not shown in the sample reviews displayed.
2. Currently, sample reviews which are approved in the first round of reviews are available to be viewed in the second round too (the rubrics are different, so should this happen?)
Overall, they did a great job with the entire functionality!</t>
  </si>
  <si>
    <t>The prose is quite readable.  The sequence diagrams are decreasing in size from the first to the last, not clear why.  The code changes are not described in any detail, and they should be.  For the automated tests, a narrative could have described what they were testing, instead of leaving the reader to look at the code.</t>
  </si>
  <si>
    <t>E2021</t>
  </si>
  <si>
    <t>asrikan2 (Srikanth, Akash) skmuppal (Muppala, Sasidhar) suppala (Uppalapati, Sri Harsha Varma) vpisapa (Pisapati, Venkata Santosh Pavan)</t>
  </si>
  <si>
    <r>
      <rPr>
        <rFont val="Calibri, sans-serif"/>
        <color rgb="FF1155CC"/>
        <sz val="11.0"/>
        <u/>
      </rPr>
      <t>https://expertiza.csc.ncsu.edu/index.php/CSC/ECE_517_Spring_2020_-_E2021._Allow_reviewers_to_bid_on_what_to_review</t>
    </r>
    <r>
      <rPr>
        <rFont val="Calibri, sans-serif"/>
        <color rgb="FF000000"/>
        <sz val="11.0"/>
      </rPr>
      <t xml:space="preserve"> https://github.com/SasiDharKM/expertiza https://github.com/expertiza/expertiza/pull/1722 https://youtu.be/W30KzjhE9Uk</t>
    </r>
  </si>
  <si>
    <t>Unlikely; pull request would have to be cleaned up, and comments fixed.</t>
  </si>
  <si>
    <t>The number of reviews created by default needs to be checked. Creating minimum reviews and then allowing users to request more reviews if required is 1 option.  Concerned that re-implementing web service raises the maintenance cost unacceptably for the whole system.</t>
  </si>
  <si>
    <t>This is a well written description, but unfortunately it assumes that the reader is familiar with bidding for topics, which is not necessarily true.  You show "before" and "after" code sequences, but it would be much clearer if the changes were shown in Github diff view.  However, the descriptions of the changes are quite understandable.  Ditto for the tests.</t>
  </si>
  <si>
    <t>E2020</t>
  </si>
  <si>
    <t>dnhancoc (Hancock, Danielle) empeden (Peden, Eric) hhwang4 (Hwang, Hosung)</t>
  </si>
  <si>
    <t>https://expertiza.csc.ncsu.edu/index.php/CSC/ECE_517_Spring_2020/E2020_Let_course_staff_as_well_as_students_do_reviews https://github.com/epeden/expertiza https://github.com/expertiza/expertiza/pull/1729/files https://youtu.be/mDsc5n1NZ9E</t>
  </si>
  <si>
    <t>The graphic choosen for an instructor's review is a black star, better options should've been investigated.  There are some code smells like in the code added to  list_submissions.html.erb. Comment quality is inconsitent. Serious concerns about whether participants are treated correctly (what about "submitters"?).
Many methods seem to be bloated more than necessary.</t>
  </si>
  <si>
    <t>In showing your code, it would be much more helpful if you show the changes you made and describe them.  In some cases you do, but for "View changes" and "Changed files:" below that, you just show the code.</t>
  </si>
  <si>
    <t>E2019</t>
  </si>
  <si>
    <t>E2018</t>
  </si>
  <si>
    <t>ahubber (Hubbert, Anfernee) jamart24 (Martinez-Mantilla, Juan) jrgachie (Gachie, Jamie) kshanka2 (Shankar, Koushik)</t>
  </si>
  <si>
    <t>https://expertiza.csc.ncsu.edu/index.php/CSC/ECE_517_Spring_2020_-_E2018_sort_instructor_reports_by_name_ID_score_etc https://github.com/expertiza/expertiza/pull/1723 https://github.com/jandres61/expertiza/tree/beta https://youtu.be/uZfo4MWsnrI</t>
  </si>
  <si>
    <t>Fixed after semester and merged</t>
  </si>
  <si>
    <t>All of the asked functionalities have been implemented properly in the User Interface, however, the build did not pass. There are errors related to test author feedback report, test review report and so on. The affected rspec tests have not been modified to pass the build. Also, the code could be better commented. For example, even though the piece of code: &lt;% ['one', 'two', 'three'].each do |round| %&gt; already existed, it needs to be properly documented/commented what that indicates as it seems that the number of rounds have been hardcoded.</t>
  </si>
  <si>
    <t xml:space="preserve">They took into account the suggestions to replace "Issue 1", "Issue 2", etc, with the titles representing the actual problems. The also removed a lot of redundant spacing between random text elements, although, the code pasted looks a bit unformatted. It would have helped if the sections on Problem Statement and Design contained a narrative describing what was done, instead of just a list of items. The Solutions section is much better.  The UML diagram also consists of a lot of blank space. </t>
  </si>
  <si>
    <t>E2017</t>
  </si>
  <si>
    <t>E2016</t>
  </si>
  <si>
    <t>bzhong2 (Zhong, Boxuan) gwang25 (Wang, Guoyi) tgao5 (Gao, Tianji) yzhan114 (Zhang, Yulin)</t>
  </si>
  <si>
    <t>https://expertiza.csc.ncsu.edu/index.php/CSC/ECE_517_Spring_2020_E2016_Revision_planning_tool https://github.com/expertiza/expertiza/pull/1730 https://github.com/uiz-11/expertiza https://www.youtube.com/watch?v=wV9g52mRwfM</t>
  </si>
  <si>
    <t>1. A student can submit revision planning questions only before the 2nd round of review starts. '2', which indicates the round number, is hardcoded in the project code. This must be documented somewhere.
2. The heatgrid view shows the revision-planning responses along with responses to the other items
3. Students can see the responses to the questions in "Your scores" as well as in "Alternate view."
4. What is VmQuestionResponse? The vm variable name is very unintuitive.
5. I am concerned about the number of parameters that have been added to existing method calls, not always described in comments.  They make it more difficult to read and understand the code.
6. The code changes could have been better documented by juxtaposing the old code against the new code.
7. At places, they have also refactored the existing code.
Overall, they did a good job with the functionality. Most importantly, they maintained consistency by changing the code in all places where the responses would be displayed.</t>
  </si>
  <si>
    <t>The document describes the project well in narrative fashion.  It seems to suggest that revisions can be solicited after any round, not just after Round 1.  I don't think that's consistent with the code.  There are at least two points where notes about the project are in brackets in the design doc.  These should have been removed for the final version.  I don't think that the code modifications, especially the ones to controllers, are adequately described.  They are just listed, with no explanation of why the change was needed.  Similarly, the testing plan should explain what is tested.</t>
  </si>
  <si>
    <t>E2015</t>
  </si>
  <si>
    <t>caklier (Klier, Carl) shmehta (Mehta, Sahil) spapalk (Papalkar, Sahil) ssdeshp6 (Deshpande, Siddharth)</t>
  </si>
  <si>
    <r>
      <rPr>
        <rFont val="Calibri, sans-serif"/>
        <color rgb="FF1155CC"/>
        <sz val="11.0"/>
        <u/>
      </rPr>
      <t>http://expertiza.csc.ncsu.edu/index.php/CSC/ECE_517_Spring_2020_-_E2015._Conflict_notification</t>
    </r>
    <r>
      <rPr>
        <rFont val="Calibri, sans-serif"/>
        <color rgb="FF000000"/>
        <sz val="11.0"/>
      </rPr>
      <t xml:space="preserve"> https://drive.google.com/open?id=18PiGb18ZhD3BqTXChXFW8t_81hlgM08O https://github.com/expertiza/expertiza/pull/1714</t>
    </r>
  </si>
  <si>
    <t>?</t>
  </si>
  <si>
    <t xml:space="preserve">
1. switchPoints needs a more descriptive name.
2. report_formatter_helper.js file needs a less obscure code. The E2015 adopted much of the code from previous team and they were not sure of its exact working. The code violates DRY principle.
3. The database has been queries with joins to fetch items that already might be available in other variables. Redundant querying the DB slows down the performance of Expertiza.
4. Code for upper tolerance and lower tolerance is written separately. There is no need for that.
5. The graphs on views can be converted into multi-bar graphs instead of showing 2 different graphs for the same row/team.
6. Calculation of grades is misplaced in review_mapping_helper, and duplicates functionality elsewhere in the system.</t>
  </si>
  <si>
    <t>In terms of prose, this report is quite good, describing the problem well in narrative fashion.  Changes are described well too, making it easy to see and understand what has been done. Also, there are a variety of diagrams and screenshots used to illustrate the changes.  The only issue I see is that some of the lists are pretty long (~ 10 items), and it might have been easier to grasp if they had been broken down into sublists.</t>
  </si>
  <si>
    <t>2020 Spring OSS</t>
  </si>
  <si>
    <t>E2014</t>
  </si>
  <si>
    <t>Refactor datetimepicker.js</t>
  </si>
  <si>
    <t>anbhatta (Bhattacharyya, Akanksha) spapalk (Papalkar, Sahil) ssujal (Sujal, Sujal)</t>
  </si>
  <si>
    <t>http://152.46.16.156:8080/ http://wiki.expertiza.ncsu.edu/index.php/CSC/ECE_517_Spring_2020_-_E2014._Refactor_datetimepicker.js https://drive.google.com/file/d/1RQcgq3bwtGUyfptkr609bUP7mjusYLDO/view?usp=sharing https://github.com/SujalAhrodia/expertiza/tree/beta https://github.com/expertiza/expertiza/pull/1694</t>
  </si>
  <si>
    <t>The team was in constant touch with the mentor and have performed the job of refactoring the datetimepicker very well. They have replaced the older and unmaintained version of jQuery UI to a Bootstrap version compatible with both v3 and v4 now which has a better look and feel and has very less JS required as opposed to the previous gem. The team did not however add the widget to any new page. Excellent addition in specs have improved the coverage along with a very neat documentation and all changes explained properly. Very high review grades. Build is passing.</t>
  </si>
  <si>
    <t>The team has a put together an informative wiki page with all the sections, changes and steps described in detail. The highlight of the team is addition of their specs for the frontend.</t>
  </si>
  <si>
    <t>E2013</t>
  </si>
  <si>
    <t>bzhong2 (Zhong, Boxuan) rekaufma (Kaufman, Richard) tgao5 (Gao, Tianji)</t>
  </si>
  <si>
    <t>http://wiki.expertiza.ncsu.edu/index.php/CSC/ECE_517_Spring_2020_-_E2013._Refactor_tree-display.js_and_tree_display_controller.rb https://github.com/bzhong2/expertiza https://github.com/expertiza/expertiza/pull/1699</t>
  </si>
  <si>
    <t>The task was to refactor tree_display.js and its controller for better rendering performance since it takes a few seconds to show up on screen. The team has done minor refactorings mostly renemaing methods and variables and removing unused method. However, did not focus on benachmarking renderin time and improving the performance. The team mostly comprised of ECE students, was completely new to JS and could not understand ReactJS code which is an exception in Expertiza. Team was not so much in touch with the mentor and did not raise concerns from time to time. Build is passing.</t>
  </si>
  <si>
    <t xml:space="preserve">The document talks about a set of changes to the class.  The changes are shown clearly, but there is little description of the rationale behind the changes, why these specific issues were chosen.  There is very little information on testing.  Saying "see if they are redirected to the correct page" does not mean much unless one knows what page they should be directed to.  Ditto for "details can be displayed properly." 
</t>
  </si>
  <si>
    <t>E2012</t>
  </si>
  <si>
    <t>caklier (Klier, Carl) thwinter (Winter, Thomas) yzhan114 (Zhang, Yulin)</t>
  </si>
  <si>
    <r>
      <rPr>
        <rFont val="Calibri, sans-serif"/>
        <color rgb="FF000000"/>
        <sz val="11.0"/>
      </rPr>
      <t xml:space="preserve">http://152.46.17.241:8080/ https://drive.google.com/open?id=1Kljltykih20bcp87rpG1yNKJgRelPqPk https://expertiza.csc.ncsu.edu/index.php/CSC/ECE_517_Spring_2020/E2012._refactor_lottery_controller.rb https://github.com/carlklier/expertiza/tree/beta </t>
    </r>
    <r>
      <rPr>
        <rFont val="Calibri, sans-serif"/>
        <color rgb="FF1155CC"/>
        <sz val="11.0"/>
        <u/>
      </rPr>
      <t>https://github.com/expertiza/expertiza/pull/1712</t>
    </r>
  </si>
  <si>
    <t>The requirements for this project were fixing code climate issues and increasing test coverage. The test coverage has increased from 10% to 41%. The Code Climate issues seem to have all been solved (most of them revolved around large and complex functions. The run_intelligent_assigment method was reduced from 26 lines to 22. The match_new_teams_to_topics method was reduced from 32 to 18 lines. The assign_available_slots, construct_users_bidding_info, and construct_teams_bidding_info were included to reduce complexity.
Added method tests for all methods and end to end tests for lottery controller. They also added in tests for explicit test cases whereas the previous tests did little to ensure that return results from methods should be correct, with the exception of a few. 
This project reduced code complexity for the methods in the LotteryController and fixed Code Climate issues as assigned. In the test cases they wrote exhaustive tests which tested the expected functionality of all methods in the class.</t>
  </si>
  <si>
    <t>This is excellent. I particularly liked the way you described all your changes and the reasons for them. They show that you had a clear understanding of what your goals were. This will help future teams ... not only ones that touch this code, but teams that look at your wiki page as a model for their documentation. While there are pluses and minuses, I liked the way you showed the code changes in popups. This made it possible to get more text on the page than if the code had been inserted in the wiki page. You also did a thorough job of describing the tests.</t>
  </si>
  <si>
    <t>E2011</t>
  </si>
  <si>
    <t>Refactor assignment_creation_spec.rb</t>
  </si>
  <si>
    <t>akhot (Khot, Ayush) cgmorris (Morris, Christian) cmfoley2 (Foley, Colin)</t>
  </si>
  <si>
    <t>http://wiki.expertiza.ncsu.edu/index.php/CSC/ECE_517_Spring_2020_-_Project_E2011._Refactor_assignment_creation_spec.rb https://github.com/expertiza/expertiza/pull/1686</t>
  </si>
  <si>
    <t xml:space="preserve">This is a refactoring project of a spec file. Most of the issues that were mentioned by code climate were either associated with too many lines of code in one block or redundent code. The team has addressed both these issues very well. They moved all redundant code to a helper file and broke down the assignment_creation_spec into a number of files to make it more concise. However, they got rid of the initial file in itself. The comments were a little on the less side but considering it's a spec file. The code is pretty self explanatory.  
Pros:
Build is passing
Test converage increased
Code climate issues addressed
Cons:
finder_var is a variable name that is used in the assignment_creation_helper file. Which does not seem to be very intuitive. </t>
  </si>
  <si>
    <t xml:space="preserve">The wiki was to the point and explains all the code changes they have made. Why they touched some parts of code and why they didn't touch the others. Their test plan mentions a list of all the test cases that are currently covered. It's not clear how that list is organized, and given that there are dozens of items, there needs to be a logical ordering to them. Also, they did not mention how they have tested it manually. Some reviewers complained that they did not know how to test it properly since their test plan did not cover it. </t>
  </si>
  <si>
    <t>E2010</t>
  </si>
  <si>
    <t>Refactor criterion.rb</t>
  </si>
  <si>
    <t>gwang25 (Wang, Guoyi) shmehta (Mehta, Sahil) ssdeshp6 (Deshpande, Siddharth)</t>
  </si>
  <si>
    <t>http://152.46.17.164:8080 http://wiki.expertiza.ncsu.edu/index.php/CSC517_(Spring_2020)_-_E2010._Refactor_criterion.rb https://github.com/expertiza/expertiza/pull/1682 https://github.com/mehtasahil31/expertiza https://github.com/mehtasahil31/expertiza/projects</t>
  </si>
  <si>
    <t>Drastically reduced the line of codes in the complete method from 123 to 15. The branch complexity of the complete method has definitely reduced. The extracted methods were of size 21, 19 and 36. The last method could have been further refactored, its branch complexity also seems to be high. The view_completed_question method has been reduced by 14 lines. One line code of line is completely removed, but it is used no where in the function so that is acceptable. Overall, they have refactored the told methods, but it would been better if they  would have further refactored the new methods too. Many test cases are added for the complete method, testing various scenarios. The test case for view_complete_method is not modified, but it does not fail either. So good job overall.</t>
  </si>
  <si>
    <t>There are two kinds of changes described: changes to individual statements, or compound statements, and changes to methods. The changes to individual statements are described very clearly, but for changes to methods, usually the authors just dump the old code out, followed by the new code. That does not help the reader much. There are formatting glitches due to hundreds of single quotes throughout the document. One of them is not closed properly, and that causes the whole document, except for part of the table of contents, to be in italics. The overall impression is that this document is clearer than most.. The testing plan is very elaborate. Good Rspec tests are included.</t>
  </si>
  <si>
    <t>E2009</t>
  </si>
  <si>
    <t>Refactor assignment.rb</t>
  </si>
  <si>
    <t>jsabari (Sabarimuthu, Jasmine Madonna) ranbazh (Anbazhagan, Rajan) sganapa4 (Raman, Sreenidhi Ganapathi)</t>
  </si>
  <si>
    <t>http://152.46.18.209:8080/ http://wiki.expertiza.ncsu.edu/index.php/CSC/ECE_517_Spring_2020_E2009_Refactor_assignment https://github.com/JasmineMadonna/expertiza/tree/E2009_Refactor_assignment https://github.com/expertiza/expertiza/pull/1697 https://youtu.be/zSySTQp3t3w</t>
  </si>
  <si>
    <t xml:space="preserve">Yes, again, tests are missing but coverage is pretty good already so can be merged. </t>
  </si>
  <si>
    <t xml:space="preserve">They have addressed code climate issues. They have made changes in 5 files. Their build is passing so all the existing test cases are passing so thats good. They havent added any new tests themselves, however they have made a slight modification to the old tests to make sure they pass successfully. The test coverage for this file was already pretty good ~ 84% on code climate. 
Reviews showed significant improvement from round -1 to round 2. They did pretty well in round2 and whatever concerns were raised were with respect to their test plan alone. 
</t>
  </si>
  <si>
    <t xml:space="preserve">The wiki page includes screenshots from the IDE.  Although they are a bit blurry, they show very well the code changes that have been made.  The prose descriptions are also quite readable. Their test plan mentions that they have done exhastive testing on the UI but does not mention the scenarios. Their automated testing section mentions that they have fixed two previously failing tests but does not mention which ones either. </t>
  </si>
  <si>
    <t>E2008</t>
  </si>
  <si>
    <t xml:space="preserve">Refactor summary_helper.rb </t>
  </si>
  <si>
    <t>jviswan (Viswanathan, Jayalakshmi) skundal (Kundala, Sandeep) spal3 (Pal, Sumitosh)</t>
  </si>
  <si>
    <r>
      <rPr>
        <rFont val="Calibri, sans-serif"/>
        <color rgb="FF000000"/>
        <sz val="11.0"/>
      </rPr>
      <t xml:space="preserve">http://152.46.18.253:8080
</t>
    </r>
    <r>
      <rPr>
        <rFont val="Calibri, sans-serif"/>
        <color rgb="FF1155CC"/>
        <sz val="11.0"/>
        <u/>
      </rPr>
      <t xml:space="preserve">https://expertiza.csc.ncsu.edu/index.php/CSC/ECE_517_Spring_2020_-_Project_E2008._Refactor_summary_helper.rb
</t>
    </r>
    <r>
      <rPr>
        <rFont val="Calibri, sans-serif"/>
        <color rgb="FF000000"/>
        <sz val="11.0"/>
      </rPr>
      <t>https://github.com/expertiza/expertiza/pull/1685 https://github.com/sandeepkundala/expertiza</t>
    </r>
  </si>
  <si>
    <t>Yes, test cases are missing. This can be a potential testing project for next semester</t>
  </si>
  <si>
    <t>The team has addressed each and every issue posed by code climate, which was very good. I went through the comments of reviews and did not find any major compaints. They mostly got 4 and 5. The only concern is they haven't written any automated tests. The file did not have any prior tests written either. But they did however have a manual testing plan which was good. They had about 83 commits and they have finished most of it in round 1. They made fewer commits in round 2. They could have added more comments though. 
Pros:
Build is passing
Manual test plan executing. 
Code climate issues addressed and lot of refactoring done
Test coverage increased
Concerns:
All the commits were done only by 2 out of the 3 members in the team. I have questions if the third member (spal3) has contributed at all
No automated tests written
More commenting would have made the code more readable and concise.</t>
  </si>
  <si>
    <t xml:space="preserve">The documentation clearly explains most of the code changes they have made. Some descriptions should be more detailed, e.g., "Removed variable summary"  Why is the refactored method clearer without it?
They also explained how their code changes address Code Climate issues. They have given a detailed explanation of their manual testing plan as well. However, there is no mention of automated tests.
They added huge chunks of code in the beginning and then shifted to github view. So that looks a bit inconsistent. Otherwise, i think wrt to the project the documentation is pretty good. 
</t>
  </si>
  <si>
    <t>E2007</t>
  </si>
  <si>
    <t>jamart24 (Martinez-Mantilla, Juan) jrgachie (Gachie, Jamie) kshanka2 (Shankar, Koushik)</t>
  </si>
  <si>
    <t>http://wiki.expertiza.ncsu.edu/index.php/CSC/ECE_517_Spring_2020_-_E2007_Add_test_cases_to_review_mapping_helper#References https://github.com/expertiza/expertiza/pull/1689 https://github.com/jrgachie/expertiza https://www.youtube.com/watch?v=jouVxnODyJk</t>
  </si>
  <si>
    <t>The tests this team has created are extensive, and look good.  However, the build is currently failing (though one reviewer said it passed), and 28 files have been changed.  The changed files are indicative of the new project being compared to an old commit, perhaps on the master branch.  With the build failing, it's impossible to verify that the tests do what they are supposed to.</t>
  </si>
  <si>
    <t>The documentation shows the changes to the code, but does not explain how the logic has been fixed.  The test plan lists the methods linearly (22 of them), but does not group them into categories that would be easier to understand.  American spelling should be used in the documentation and code; however British spelling seems always to have been used.</t>
  </si>
  <si>
    <t>E2006</t>
  </si>
  <si>
    <t>Refactor tree_display_controller.rb</t>
  </si>
  <si>
    <t>pjloheid (Loheide, PJ) rphollow (Holloway, Rick) wbanders (Anderson, Brooks)</t>
  </si>
  <si>
    <r>
      <rPr>
        <rFont val="Calibri, sans-serif"/>
        <color rgb="FF000000"/>
        <sz val="11.0"/>
      </rPr>
      <t xml:space="preserve">http://152.7.98.140:8080
</t>
    </r>
    <r>
      <rPr>
        <rFont val="Calibri, sans-serif"/>
        <color rgb="FF1155CC"/>
        <sz val="11.0"/>
        <u/>
      </rPr>
      <t xml:space="preserve">https://expertiza.csc.ncsu.edu/index.php/CSC/ECE_517_Spring_2020_-_E2006._Refactor_Tree_Display_Controller
</t>
    </r>
    <r>
      <rPr>
        <rFont val="Calibri, sans-serif"/>
        <color rgb="FF000000"/>
        <sz val="11.0"/>
      </rPr>
      <t xml:space="preserve">https://github.com/RPHolloway/expertiza https://github.com/expertiza/expertiza/pull/1698
</t>
    </r>
  </si>
  <si>
    <t>Refactoring is a distinct improvement to the quality of the code.  Removes 403 LoC and adds back only 177.  Once E1915, Authorization Utilities, is merged, the instructor_for_course? method can be compacted or removed.  Tests seem to have been compacted too, though reviewers report that test coverage has increased.</t>
  </si>
  <si>
    <t>Basically a good description of the changes.  New methods could have been described in more detail, with code snippets pasted in from Github diff view.  The test plan is a long linear list of tests, which could have been grouped into categories for better readability.</t>
  </si>
  <si>
    <t>E2005</t>
  </si>
  <si>
    <t>Bookmark enhancements</t>
  </si>
  <si>
    <t>dnhancoc (Hancock, Danielle) dnhancoc (Hancock, Danielle) empeden (Peden, Eric) hhwang4 (Hwang, Hosung)</t>
  </si>
  <si>
    <t>http://152.46.16.56:8080 http://wiki.expertiza.ncsu.edu/index.php/CSC/ECE_517_Spring_2020_-_E2005._Bookmark_enhancements https://github.com/expertiza/expertiza/pull/1704/</t>
  </si>
  <si>
    <t>No complaints in the 2nd round, only 4 or 5 scores
Issues from round 1 have been fixed in round 2
Build is passing
Testing plan executed.
Test Coverage has increased
The code touches 32 files. Seems like a lot but I have checked, all changes are required. In fact, a very detailed understanding would be required to make such minute changes.
There could be more comments, but I’m giving them a pass on that as a lot of code is frontend which requires more lines of code. Can maybe deduct 2 points but not more. 
I have questions about why an average score is calculated in the controller.  Shouldn't that be a Questionnaires method?  And why is a constant 5 hardwired in?  Values can range from min_question_score to max_question_score.
Why is a description required for each bookmark?  Shouldn't this at least be optional on the part of the instructor?</t>
  </si>
  <si>
    <t>The document starts out with a list of 16 fixes that are needed, but the description of the changes is in a completely different order, and it's not clear how the ordering was devised. The changes are described with varying degrees of detail.  Some are explained well, while others have just a line or two saying what they do.  A DB diagram is shown, but its relation to the project is unclear.  There is a good manual test plan, but automated tests are not mentioned.</t>
  </si>
  <si>
    <t>E2004</t>
  </si>
  <si>
    <t>Refactor assignment_controller.rb</t>
  </si>
  <si>
    <t>aupadhy3 (Upadhyaya Ghimire, Abhishek) dbell5 (dbell5) stgreen (Green, Steven)</t>
  </si>
  <si>
    <t>http://152.46.18.46:8080 http://wiki.expertiza.ncsu.edu/index.php/CSC/ECE_517_Spring_2020_-_E2004._Refactor_assignments_controller https://github.com/expertiza/expertiza/pull/1684 https://github.com/stevengreens10/expertiza/tree/beta</t>
  </si>
  <si>
    <t>The method name should be restored to its original to remove the current error. Apart from that, it should really be merged I feel.</t>
  </si>
  <si>
    <t>Create method reduced from 35 lines to 15 lines. They have reduced the number of branches and also extracted all the loop structures. Edit method also has no branches/loops now and has been refactored well. Nested structure has been removed from "update_feeback_attributes" method. Copy method is reduced by 3 lines, but the methods (check_same_directory?) extracted from it seem unnecessary as the branch complexity is most probably still the same. The code is well commented. They have added comments even for the methods they did not modify. They have modified the existing method names unrelated to their functionality to just improve readability. No test cases were added or modified by the coverage increased. One test case relevant to their controller has failed. They have changed the name of a method from associate_assignment_with_course to place_assignment_in_course which was not related to their project. This created an error and a test case is not passing because of that. Overall, I think they have acheived a a lot, even more than the issues given in the problem statement.</t>
  </si>
  <si>
    <t xml:space="preserve">Good writeup. They have added code in the form of screenshots but this makes it very easy to understand the difference between the old code and the new code. Each issue is separately addressed. Some descriptions could have been more specific, e.g., "check_same_directory compares directories for two assignment IDs, consolidating the conditional used in the copy method.."  I wonder what "consolidating the conditional" means. </t>
  </si>
  <si>
    <t>E2003</t>
  </si>
  <si>
    <t>Refactor and improve assessment360_controller.rb</t>
  </si>
  <si>
    <t>rananth2 (Ananth, Ramya) suppala (Uppalapati, Sri Harsha Varma)</t>
  </si>
  <si>
    <t>http://152.46.16.125:8080/ http://wiki.expertiza.ncsu.edu/index.php/CSC/ECE_517_Spring_2020_-_E2003._Refactor_and_improve_assessment360_controller https://github.com/expertiza/expertiza/pull/1713 https://github.com/ramyananth/expertiza</t>
  </si>
  <si>
    <t>Yes, a clear improvement.  We can build on this improvement in the future.</t>
  </si>
  <si>
    <t>Refactoring appears to be a clear improvement, and the build has passed.  As one of the reviewers has noted, some large blocks of code could have been broken down further.  However, most of them seem to be well commented, so that is not a major issue.  While the changes are good, they could have been more extensive.  The optional changes listed in the project description have not been made.</t>
  </si>
  <si>
    <t>They do a reasonably good job of describing the changes, but (1) they show the old and new versions sequentially, rather than in Github diff view, which makes the changes much more difficult to understand, and (2) in view of the lack of comments in some snippets of code shown on the wiki page, the documentation should have contained further detail on what the code does.  Would have been good for the test plan to give an overview of the testing code.</t>
  </si>
  <si>
    <t>E2002</t>
  </si>
  <si>
    <t>mramani (Ramani, Mohnish) nradhak2 (Radhakrishnan, Nita)</t>
  </si>
  <si>
    <r>
      <rPr>
        <rFont val="Calibri, sans-serif"/>
        <color rgb="FF000000"/>
        <sz val="11.0"/>
      </rPr>
      <t xml:space="preserve">http://152.46.19.42:8080/ http://wiki.expertiza.ncsu.edu/index.php/Main_Page/CSC/CSC_517_Spring_2020_Refactor_impersonate_controller https://drive.google.com/file/d/18i2Sj2BHssHZdhuyFSx-u5rY8_sPQXmn/view?usp=sharing </t>
    </r>
    <r>
      <rPr>
        <rFont val="Calibri, sans-serif"/>
        <color rgb="FF1155CC"/>
        <sz val="11.0"/>
        <u/>
      </rPr>
      <t>https://github.com/expertiza/expertiza/pull/1687</t>
    </r>
    <r>
      <rPr>
        <rFont val="Calibri, sans-serif"/>
        <color rgb="FF000000"/>
        <sz val="11.0"/>
      </rPr>
      <t xml:space="preserve"> https://github.com/nradhak2/expertiza/tree/beta</t>
    </r>
  </si>
  <si>
    <t>Manually test, write test cases, and merge.</t>
  </si>
  <si>
    <r>
      <rPr/>
      <t xml:space="preserve">Reuse
(Read the comment on its closed </t>
    </r>
    <r>
      <rPr>
        <color rgb="FF1155CC"/>
        <u/>
      </rPr>
      <t>PR</t>
    </r>
    <r>
      <rPr/>
      <t>)</t>
    </r>
  </si>
  <si>
    <t>The method size has reduced significantly. The impersonate method size reduced from 79 to 39. All error messages are consolidated into a single display_error_msg function. They have shown the testing for various error message scenarios. There are certain error statements where they have accessed the :impersonate session parameter instead of the :user session parameter. Trying to figure out why. But overall, the refactoring is done into sensible functions with relevant naming of functions and variables. No test cases are written because there was no Rspec file to start with. So this will need to go through thorough manual testing before merging.</t>
  </si>
  <si>
    <t>Issues are specified clearly and the changes that they made to tackle each issue is also very clear. The changes made in the code are correctly reflected in the document. But I think that the changes could have been described in more detail.  Instead of a statement like, "Moved to a separate method and accessed through the adapter method do_main_operation", I would have liked to see an explanation of the three branches of if statements in the coe for this method.  And instead of "This method checks to see if the given username is acceptable.", I would have liked to know HOW the method checks for acceptability.  They have also tested various scenarios and displayed the results on the Wiki page. However, an automated test plan is missing.  Some screenshots are a bit blurry.</t>
  </si>
  <si>
    <t>E2001</t>
  </si>
  <si>
    <t>hhleroy (LeRoy, Hartley) jamcdon3 (McDonald, John) tsattle (Sattler, Tyler)</t>
  </si>
  <si>
    <t>http://152.46.18.99:8080/ https://expertiza.csc.ncsu.edu/index.php/CSC/ECE_517_Spring_2020_/_E2001_Refactor_Questionnaires_Controller https://github.com/Sattlert2/expertiza https://github.com/expertiza/expertiza/pull/1702</t>
  </si>
  <si>
    <t>No. Given their recklessly naive fix for quiz_questionnaire tests, I do not trust their code at all.</t>
  </si>
  <si>
    <t xml:space="preserve">I checked all the reviews where the team scored less than 4 and the reviews seem to be inconsistent with the truth. Commits were made during the 2nd round. The build did not pass - that is true. However, I have checked the build. The test cases that are failing are not related to the questionnaires_controller. During one of the mentor meetings I had checked and the build was passing then. They only added comments after that and the build failed. I checked with the team and they confirmed that the tests were passing on VCL. As per the refactoring: The team has done a really good job. Most of the refactoring is based on how code climate reacts to code. Of course, code climate has issues from master so they couldn’t have fixed those exact issues but their strategy was clearly to write code that satisfies code climate.
</t>
  </si>
  <si>
    <t>In the early sections, the page lists several types of questionnaires, and several types of questions, without explaining what they are used for.  And then in database relationships, relationships are shown without explaining what they have to do with the project.  It is the authors' job to explain this, not the reader's job to figure it out.
When QuizQuestionnaire checks are explained, it just says that the checks were removed!  But they are needed.  It seems that their change would make the weight for every item 1 in every questionnaire!  Maybe the code is not this naive, but the changes certainly should have been explained better!
For the changes to the create method, no comments are added ... though old comments are preserved.</t>
  </si>
  <si>
    <t>E2000</t>
  </si>
  <si>
    <t>Refactor stage deadlines in assignment.rb</t>
  </si>
  <si>
    <t>ahubber (Hubbert, Anfernee) bwanza (Wanza, Bahati) dswarre2 (Warren, David)</t>
  </si>
  <si>
    <t>https://expertiza.csc.ncsu.edu/index.php/CSC/ECE_517_Spring_2020_Refactor_assignment.rb https://github.com/AnfGod/expertiza/tree/fresh-start https://github.com/expertiza/expertiza/pull/1709</t>
  </si>
  <si>
    <t>Yes ... after the build passes (it didn't pass before they got the project, and it doesn't pass now).</t>
  </si>
  <si>
    <t>87 (95 for Hubbert)</t>
  </si>
  <si>
    <t>95 (99 for Hubbert, 0 for teammates)</t>
  </si>
  <si>
    <t>This project was supposed to fix the problems that prevented the E1906 build from passing.  Instead, the team (actually, only one person contributed) made independent refactorings related to stage deadlines.  These changes are relatively minor, appear to be useful, but, alas, the build still does not pass.  I fear we are going backwards on this project.  Going forward, it will be hard to merge the changes from E1906, and moreover, the changes from this project need to be merged with the changes from E1906.  That said, the low score on this project is NOT an indication that the changes should not be merged.  They seem fine; the problem is that not more was done.</t>
  </si>
  <si>
    <t xml:space="preserve">The document is very short, but so are the changes to the code.  It is a straightforward explanation of the changes made, but it could have identified the places better (it didn't refer to the line numbers where the changes were made). </t>
  </si>
  <si>
    <t>2019 Fall Final</t>
  </si>
  <si>
    <t>E1998</t>
  </si>
  <si>
    <t>Weights in grade calculation</t>
  </si>
  <si>
    <t>svshingt sgpai2 ssrane2 smhatre</t>
  </si>
  <si>
    <t xml:space="preserve">http://wiki.expertiza.ncsu.edu/index.php/CSC/ECE_517_Fall_2019_-_E1998._Weights_in_grade_calculation                        
https://github.com/expertiza/expertiza/pull/1633                        
http://152.7.99.125:8080/                        
https://drive.google.com/drive/u/1/folders/1GcdSuqH4jcM4Ax-rQ-4FDPYe82NG3cfJ                        
</t>
  </si>
  <si>
    <t>Purpose: added feature to add weights for each question from UI.
Comments:
(1) Add more comments in UI files.
(2) Some duplicated code, for different types of question.
(3) The sql query used for calculating score uses nested queries which is not a good way for performance. Use JOINS and avoid nested queries.
(4) Add comments when you change existing test.
(5) The document should list the automated test."
(6) addition/verification of weighted grading in quizzes/assignments
(7) Talks about creating quizzes, presumably to calculate grades for them.
   They added blanks for weights for questions on quizzes.
   The first video just shows taking quizzes, not scores being calculated.
(8) They added a box for weight to the form for creating questionnaires, and ditto for quiz questionnaires.
(9) “Number of quiz questions” textbox is much too far to the right.
(10) A large amount the other video is on creating a quiz too.
(11) We see that the weight is correct when one question has a weight of 2.
    This may not be a severe enough check.
(12) The “View quiz questions” icon can show you a history of people taking quizzes.
    [I’m a little unclear on what this has to do w/the project.]
(13) Some duplicated code, for the 3 forms for MC radio, MC checkbox, &amp; T/F
(14) Score calculation is done separately in quiz_response_map,  but a lot would need to be changed to unify it with 
(15) score calculation for other types of rubrics (e.g., in quiz questionnaires, all questions have weights).
(16) app/views/questionnaires/_question_weight.html.erb allows you to assign a weight when CREATING a questionnaire (before, you had to edit it to assign weights)
(17) Wiki page should list the automated tests.
(18) Why does it say, ""Add question weight"" instead of ""Weight""?  In other places in the system where you ""Add"" something, it takes you to a diff. page."</t>
  </si>
  <si>
    <t>Well-written report, with good descripitions of the changes that were made. Tests should be a separate section, though.  Automated testing should be addressed in a separate section.</t>
  </si>
  <si>
    <t>E1997</t>
  </si>
  <si>
    <t>drmakam smuvval speredd psheora</t>
  </si>
  <si>
    <t xml:space="preserve">http://wiki.expertiza.ncsu.edu/index.php/CSC/ECE_517_Fall_2019_-_E1997._Issues_related_to_meta-reviewing			
https://github.com/expertiza/expertiza/pull/1645			
https://github.com/VishnusRepo/expertiza			
https://github.com/expertiza/expertiza/pull/1636/			
https://youtu.be/sioKRtXAYug			
</t>
  </si>
  <si>
    <t>No, was redone next semester &amp; that's slated to be merged.</t>
  </si>
  <si>
    <t>1.The checkbox for the meta-review assignment looks good.  
2. Meta review feature working as expected but could see the metareview debug comments on the UI(a minor change is needed)+ the "update"  button could be changed to "Edit".   
3.The issues have been resolved however no test cases have been added. Comments could also be added for the changes done.
4. In a number of places, the if statements could be moved to private methods to avoid conflating the purpose of the method with meta-reviewing</t>
  </si>
  <si>
    <t>Very good description of the issues and how you fixed them.  Test plan needs to be better documented.</t>
  </si>
  <si>
    <t>E1996</t>
  </si>
  <si>
    <t>czhong4 yshi23 syu25 mdong4</t>
  </si>
  <si>
    <t xml:space="preserve">http://wiki.expertiza.ncsu.edu/index.php/CSC/ECE_517_Fall_2019_-_E1996._Enhancements_to_review_grader			
https://github.com/buhubu/expertiza/tree/new1996			
https://github.com/expertiza/expertiza/pull/1627			
https://www.youtube.com/watch?v=QxDLWqEumj4			
</t>
  </si>
  <si>
    <t>Need to manually test before merging</t>
  </si>
  <si>
    <t>They fixed review page so scores are being shown.  But sometimes, average scores are not shown; why not?
Moved legend for Metrics column to the top.  But they changed it so bars are not overlapped.  This may not make the best use of space in the metrics cell.  They point out that the overlap was not consistent before; sometimes the avg. was above the current review, sometimes below.  They say that overlap was not an official feature of the gem.  It was kludged in.
Changed width of columns so there’s more room to type in grades and reasons.
In summary view, all names replaced by anonymized version in anonymized view.
Fixed cell width, put “questions” out to the left.
But does the column width vary from question to question?
No new tests have been written.  Do we know that the view will still render correctly with 3, or 5 reviews?</t>
  </si>
  <si>
    <t>There are a lot of good things about this design doc.  It itemizes the issues, and has screenshots showing exactly what has been changed.  There is enough here that the reader can easily understand what has been done.  However, the authors could have made it easier for the reader by inserting code snippets, rather than discussing code changes in long paragraphs of text.  They could have inserted paragraph breaks to make it easier to read.</t>
  </si>
  <si>
    <t>E1995</t>
  </si>
  <si>
    <t>Tests for email functionality</t>
  </si>
  <si>
    <t>vpshah uvasani tmpandi2 sdinaka</t>
  </si>
  <si>
    <t xml:space="preserve">http://wiki.expertiza.ncsu.edu/index.php/CSC/ECE_517_Fall_2019_-_E1995._Tests_for_email_functionality                        
https://github.com/expertiza/expertiza/pull/1632                        
https://youtu.be/PmfTYDx2ms8                        
</t>
  </si>
  <si>
    <t>Good explanation of the problem statement at the start of the video.
The test is written shown on the video by explaining the scenario.
We need to anonymize the table which stores pending request for super admin to approve/reject.
Good job in using existing code and modifying it to work for all scenarios.
Add comments for email_all_reviewers method, why participant is used in the function call.</t>
  </si>
  <si>
    <t>Looking at it paragraph by paragraph, the documentation is quite good.  However, the organization is not clear.  What is an "out of scope bug" [out-of-scope bugs?]  Why is there no subsection in 4, "Fixing out of scope bugs" on Resetting password?</t>
  </si>
  <si>
    <t>E1994</t>
  </si>
  <si>
    <t>mliu25 swen4 hwang85 rwu5</t>
  </si>
  <si>
    <t xml:space="preserve">http://wiki.expertiza.ncsu.edu/index.php/CSC/ECE_517_Fall_2019_-_E1994._Mentor_management_for_assignments_without_topics                        
https://github.com/expertiza/expertiza/pull/1651                        
https://youtu.be/avjdLbw28K8                        
https://youtu.be/fyAiyzUsHH4                        
https://youtu.be/KBdiqPe-wLE                        
http://152.46.18.18:8080                        
</t>
  </si>
  <si>
    <t>Purpose: The problem and solution for implementation of automatically assigning a mentor to a team
Comments:
(1)Video has no audio. Please add audio or caption. 
(2)Mentor is also included in the review process which uses same rubrics. We might need to have different rubric to review a mentor.
(3)Team can use the method teams to list all the members of an assignment. They created a new method for it but can utilize the existing method.
(4)It will be good if the team change the name of the function from 'able' to 'can'.
(5)Code written in team file needs to be in assignment team.
(6)The code for email needs to be moved to email module. 
(7)Please use constants file for constants and don't hard code it.
(8)Changed the existing test case which needs to be reverted.
(9)This is a cute video, but it doesn’t show the project working at all.
(10)Mentor cannot be a team member [member of that team? member of any team?]
  [Means, Mentor will not be counted as a team member.]
(11)Mentors distributed evenly across teams?  I.e., next mentor to be assigned is the one that has been assigned to the fewest teams so far.
(12)Future work: Mentor should be able to check submissions of his team.
(13)There is another video showing the project running, but it has no audio.  [Needs captions at least.]
(14)The mentor is added to the team, but has a role of mentor.
    Then the mentor could be reviewed by a different rubric, even though this project was not set up for role-based reviewing.
(15)Function to list assignment_teams should be the same one used for the ""Create Teams"" view.
(16)able_to_review is the same as can_review, etc.  Only one version should be kept in system.
(17)# only assign mentor when number of mentor &gt; 0 ==&gt; # only assign mentor when number of mentors for this assignment &gt; 0
(18)lowest team number ==&gt; lowest number of teams
(19)This code needs to be moved from team to assignment_team (unless it also works for course teams)
   The email code should be in an email class instead of team or assignment_team
(20)If-statements check for 'mentor' in 4 places.
(21)A few tests have been written, but one staggered-deadline test is changed so it is a team assignment instead of individual(!).
(22)No tests written for email functionality.</t>
  </si>
  <si>
    <t>You motivated the project, and described its functionality.  Along with the code snippets, there should be a description of what changes have been made and why.  Ditto for the tests, which show the code, but don't describe what is tested.</t>
  </si>
  <si>
    <t>E1993</t>
  </si>
  <si>
    <t>yxiao28 dshah4 adesai5 jsukhad</t>
  </si>
  <si>
    <t xml:space="preserve">http://wiki.expertiza.ncsu.edu/index.php/CSC/ECE_517_Fall_2019_-_E1993_Track_Time_Between_Successive_Tag_Assignments			
https://youtu.be/YxR9sitpZcs			
https://github.com/Galactis/expertiza			
https://github.com/expertiza/expertiza/pull/1642			
</t>
  </si>
  <si>
    <t>No, unless the new gem is removed.</t>
  </si>
  <si>
    <t>Remove unused code. Don't just comment and leave it on the file. Add more comments in the code. Added charts to show the time of tagging the reviews - good job on that. The logic of calculating time - Good job on calculating from existing data. Testing is difficult - Calling of the function where Rspec is not able to handle. So, need to sort that out. They couldn't complete the test case because of the Rspec issues. Testing - could have tested whether data is generated correctly or not for the graph. 
Chart data was being created with chart.js in review_mapping_helper. [Which chart is this?]
      Threshold set at 30 s to filter out breaks taken by user. Any inter-tagging times of greater than this are fitered out. [This should be a parameter; is it?  It is a named constant.]
   If you set the threshold much more than 30, then you can't see the short intervals in the table
Created a new tagging report, a histogram of inter-tagging event times for each user.
Testing was difficult; it called a function that RSpec could not handle.
They used a new gem, chartjs-ror, which risks bloating Expertiza, since other charting gems are already in use.</t>
  </si>
  <si>
    <t>All in all, I don't think this documentation makes it clear what was done.  Long code sequences are given with only a few sentences' explanation.  It says that automated testing doesn't make sense, but that's not true.  Given a set of records of tagging actions, tests could make sure that the averages and other statistics about tagging times were calculated correctly.</t>
  </si>
  <si>
    <t>E1992</t>
  </si>
  <si>
    <t>rlchaval srachak akariya magavade</t>
  </si>
  <si>
    <t xml:space="preserve">http://wiki.expertiza.ncsu.edu/index.php/CSC/ECE_517_Fall_2019_-_E1992._Add_cake_type_to_rubrics_design                        
http://152.46.17.218:8080                        
https://github.com/expertiza/expertiza/pull/1646                        
https://drive.google.com/open?id=1EflLStKiQkcoI_L8MeNhVrbR21bOrIA9                        
http://152.46.19.65:8080                        
</t>
  </si>
  <si>
    <t>Purpose: Cake types explanation and new feature implementation.
Comments: (1)Renaming of "Allow Self Teammate Reviews?" necessary 
(2)Reorganize placement and sizing of comment box for explanation of cake % assignment.
(3)What about % that do not equal 100%.
(4)Addition of self review or adding teammate to the cake division --&gt; could make problems in grade calculation. solved with flash and no change. Teammates must readjust.
(5)Issue with pull request possible dual project due to master/beta confusion
(6)Allow self team mate review needs to be renamed to allow team mated to review themselves.
(6)Change the team mate review for cake assignment using table. As the review only has a single question, it could be question followed by a table of two columns. One with the assignment percentages and the other could be the comment. 
(7)The git hub pull request has changes from probably other project as well. The team needs to create a new pull request or cherry pick the changes.
(8)Maybe we should allow points to add up to some number different from 100.
(9)Question types seem to be listed in random order on rubric dropdowns.
(10)There is a checkbox on homepage, “Allow Self Teammate Reviews”.  Not clear what that means.
    Oh, it means whether you can review yourself for teammate reviews.
    But we need to name it something else!  (""Allow teammates to review themselves?) and ""Allow authors to review their own team's work?""
(11)Why the paragraph-size boxes for entering the 1st %age?
    And why doesn’t that big box have a caption that says what it contains?
    Oh, it's to explain your % score, just like in a criterion item.
    But, it could be to the right of the dropdown, which could have a much narrower window.
(12)It looks like the pull request has another project included in it.</t>
  </si>
  <si>
    <t>Great job!  If I follow the rule I have set for you, I have to tell you what I think is so great about it.  It describes the problem in readable prose.  It describes the code changes showing a reasonable amount of code.  The database design is well documented (though you could've elided some of the less relevant fields).  Test plan is well described, both manual and automated.</t>
  </si>
  <si>
    <t>E1991</t>
  </si>
  <si>
    <t>Improvements to anonymized view</t>
  </si>
  <si>
    <t>dbardha sdpampat oskulkar pmgaikwa</t>
  </si>
  <si>
    <t xml:space="preserve">http://wiki.expertiza.ncsu.edu/index.php/CSC/ECE_517_Fall_2019_-_E1991._Improvements_to_anonymized_view#Impersonating_Student_Using_Anonymized_Names			
https://github.com/expertiza/expertiza/pull/1615			
https://github.com/shubham-pampattiwar/expertiza			
https://drive.google.com/open?id=1q2oOPFnLlqyaPS9RaUJfeswbgfUpeekc			
</t>
  </si>
  <si>
    <t>Yes, but look at comments for possible fixes during merging</t>
  </si>
  <si>
    <t>All the required functionalities seems to be working fine. This looked liked a good project and good code overall. Also the test covered were very extensive. There are still few points of improvement that would have been better. The team has included a query inside a loop, which is a bad coding practice. The team should have figured out writing a single query using joins and try to push the calculation to the database. This would result in significant performance improvement for large data. The String "Anonymized" should be removed from the team name.</t>
  </si>
  <si>
    <t>This document has a good desciption of how the changes are to be made.  It describes at a high level what has been done to the code.  However, nothing is said about automized tests.
Nit: It says that the heatgrid view is not anonymized.  That is false.  However, it contains onymous names for team members. The description gives the impression that the problem is worse than it really is.</t>
  </si>
  <si>
    <t>E1990</t>
  </si>
  <si>
    <t>mgparekh rnarasi2 yrthakka pdave2</t>
  </si>
  <si>
    <t xml:space="preserve">https://github.com/expertiza/expertiza/pull/1614                        
https://github.com/maharshi-gg/expertiza                        
http://wiki.expertiza.ncsu.edu/index.php/CSC/ECE_517_Fall_2019_-_E1990._Integrate_suggestion_detection_algorithm                        
http://152.46.16.242:8080/                        
https://www.youtube.com/watch?v=FfQVuUgyMYM                        
</t>
  </si>
  <si>
    <t>The UI was clear and attractive, the messages in the pop up are descriptive and helpful. 
In the Metrics square, there is now info on volume and suggns.
    However, it seems that the metrics are hardwired, which is undesirable.
    How easy would it be to change the metrics, or add a new one?
When a student attempts to submit a review, a text-only notification appears in a notifier box.  And it only mentions the suggestions, not other metrics such as the volume.
Lots of whitespace changes committed.
Code is special-purpose with "Suggestion" hardwired.
Review round #s are hardcoded too: 1, 2, &amp; 3.  (This was the case in code already in system, the team said.)
Lots of code specific to suggestions is in review_mapping_helper, which is already bloated &amp; would get worse as other metrics are included.
It is too bad that the code has so much hardcoded &amp; mis-located, because the rest of the project is very good.
Testing seems very thorough, and pretty well documented.</t>
  </si>
  <si>
    <t>I would have liked a more complete description of what suggestion detection is supposed to do.  You did describe it, but so tersely that I think readers would have had dififculty grasping the approach.
You have a good overview of code changes, but then you just dump the changes into the document without an explanation of how each piece of code works.  It is good that you listed what the automated tests do.  The screenshots stand by themselves, though; it would've been more useful to weave them into the document wherever they applied.</t>
  </si>
  <si>
    <t>E1989</t>
  </si>
  <si>
    <t>drspruil fcdevita sjrathi rspillai</t>
  </si>
  <si>
    <t xml:space="preserve">https://github.com/rohanpillai20/expertiza                        
http://wiki.expertiza.ncsu.edu/index.php/CSC/ECE_517_Fall_2019_-_E1989._Track_the_time_students_look_at_other_submissions                        
http://152.46.16.55:8080/                        
https://youtu.be/UfzASsav8NQ                        
https://github.com/expertiza/expertiza/pull/1662                        
</t>
  </si>
  <si>
    <t>The team has done a Good job for the project Implementation. The time tracking logic seems helpful. However, there was a lot of white spaces changes due to which project cannot be merged through this pull request. The database design to add timings for other links individually could be improved. Overall Nice work.</t>
  </si>
  <si>
    <t>Very good description of the problem and the approach.  I would have liked to see more description of the code than a single line describing each method.  Most of the files changed don't have any description of the changes.
The algorithm would be more readable if it didn't overflow the text box at the right.
The automated tests should have been described.</t>
  </si>
  <si>
    <t>E1988</t>
  </si>
  <si>
    <t>jjjagtap rrpatil3 rghorse agovil</t>
  </si>
  <si>
    <t xml:space="preserve">http://wiki.expertiza.ncsu.edu/index.php/CSC/ECE_517_Fall_2019_-E1988_Allow_reviewer_to_say_review_can_be_shown_to_class_as_an_example                        
http://152.46.18.143:8080/                        
https://github.com/expertiza/expertiza/pull/1635                        
https://youtu.be/RDvDc5VYa30                        
</t>
  </si>
  <si>
    <t xml:space="preserve">Functionality has been implemented to add a review as a sample which is good and UI looks okay. 
Tests were modifed to make the build pass which is good.However, the code is not clean to be considered for merging. Team informed that 5-6 files changes were relevant to the project while the total number of files changed were 32. The team was not sure of the relevance of these unrelated files. </t>
  </si>
  <si>
    <t xml:space="preserve">The description of the problem is quite readable.  The implementation is well described in prose, but it would help to see some of the code snippets that were introduced.  This is the reverse of many design docs, which show the code, but don't adequately explain what was done. </t>
  </si>
  <si>
    <t>E1987</t>
  </si>
  <si>
    <t>nmchoks2 rdua2 smeneze onkashid</t>
  </si>
  <si>
    <t xml:space="preserve">http://152.7.99.88:8080/                        
https://drive.google.com/open?id=1ggc88SvdYrmdo-6sft8MIU_nallB5RtL                        
http://wiki.expertiza.ncsu.edu/index.php/CSC/ECE_517_Fall_2019_-_E1987._Improving_search_facility_in_Expertiza                        
</t>
  </si>
  <si>
    <t>Hard to say.  Whole lot of lines were changed, because Javascript methods were moved around.  If those are backed out, then if manual testing reveals that it works, fine to merge.</t>
  </si>
  <si>
    <t xml:space="preserve">Good Job with the project. The functionality required has been merged. The demo video was a bit confusing with all the jumping around, it could have been edited to show better results and make a more coherent video. </t>
  </si>
  <si>
    <t>Generally a good job of describing changes to be made.  Steps are given for exercising and testing functionality.  Only item lacking is a desciption of the changes made in the various files: you said which files were changed, but not how they were changed.  It would've been good to look at some sample code for constraining a search.</t>
  </si>
  <si>
    <t>E1986</t>
  </si>
  <si>
    <t>ysoodin vkarri arungta skara2</t>
  </si>
  <si>
    <t xml:space="preserve">https://youtu.be/zwSKXTtlxcQ                        
http://152.46.17.220:8080                        
https://github.com/yashwanthsoodini/expertiza-topic-bidding                        
https://github.com/karashruthi96/expertiza                        
https://github.com/expertiza/expertiza/pull/1629                        
http://wiki.expertiza.ncsu.edu/index.php/CSC/ECE_517_Fall_2019_-_E1986._Allow_reviewers_to_bid_on_what_to_review                        
</t>
  </si>
  <si>
    <t>The functionality works according to the demo but the entire code is written completely in controller; parts of which must be written in the model. The code was carefully checked against the lottery controller to understand the need for all the code in the controller but not convinced as to why the team did not use model. Tests are commented out which doesnt serve the purpose and strongly feel that the code is not well tested.</t>
  </si>
  <si>
    <t>This is an excellent description of the problem and the mathematical basis for a solution.  What it is missing is a description of how the tests work.</t>
  </si>
  <si>
    <t>E1985</t>
  </si>
  <si>
    <t>apkulka2 pharida sskhanda mtrawic</t>
  </si>
  <si>
    <t xml:space="preserve">http://wiki.expertiza.ncsu.edu/index.php/CSC/ECE_517_Fall_2019_-_E1985._Let_course_staff_and_students_do_reviews                        
https://github.com/expertiza/expertiza/pull/1631                        
https://github.com/Matrawick/expertiza                        
https://youtu.be/kLfZ22vlu30                        
</t>
  </si>
  <si>
    <t>Functionality appears to work.
Code for testing whether a reviewer is a staff member is put into an unrelated class (same method already exists elsewhere in system).
There is a long code clone because the process of creating a mapping and a review is not quite the same as when the reviewer is a non-instructor; a lot of checks needed in that case are not needed here.  But it would have been better to refactor the current code to put the common code into another method.
One test has been removed because it broke the build, &amp; was evid. unrelated to their functionality.  Some refactoring like isStaff method could be put into the user_controller +the naming of some variables needs to be changed+ one test case has been commented out but all these changes are minor.</t>
  </si>
  <si>
    <t>On the code you displayed, yes, it does contain comments that the reader could peruse to understand the code.  But the reader could gain the same info just by reading the code from the repo.  What would be useful is prose explaining what changes were made and why.  Just like you did later in Part 3.  But then when you wrote about automated tests, you just pasted in the code again.</t>
  </si>
  <si>
    <t>E1984</t>
  </si>
  <si>
    <t>bsinha2 amanend amandli dmendez</t>
  </si>
  <si>
    <r>
      <rPr>
        <color rgb="FF1155CC"/>
        <u/>
      </rPr>
      <t>http://wiki.expertiza.ncsu.edu/index.php/CSC/ECE_517_Fall_2019_-_E1984._Improve_self-review_Link_peer_review_%26_self-review_to_derive_grades</t>
    </r>
    <r>
      <rPr/>
      <t xml:space="preserve">                        
https://github.com/expertiza/expertiza/pull/1611                        
https://www.youtube.com/watch?v=oDPdvZeGpmA&amp;feature=youtu.be                        
https://github.com/ankit8011/expertiza                        
</t>
    </r>
  </si>
  <si>
    <t xml:space="preserve">Overall decent job with the project. Formula seems a bit arbitary. Removing comments from code is never suggested. Also not sure about the whitespace changes. The limitation of this working for only round of review should be fixed going forward. </t>
  </si>
  <si>
    <t xml:space="preserve">Very good job of describing the changes to be made.  Code changes are nicely diplayed.  One place for improvment: Along with the code changes, write a couple of sentences describing, for each file, the changes in that file.  </t>
  </si>
  <si>
    <t>E1983</t>
  </si>
  <si>
    <t>asyal ptiwari tkundra asaxena5</t>
  </si>
  <si>
    <t xml:space="preserve">http://wiki.expertiza.ncsu.edu/index.php/CSC/ECE_517_Fall_2019_-_E1983._Refactor_E1858,_Github_metrics_integration_view#Rspec_Test                        
http://152.46.19.135:8080/                        
https://github.com/CarlColglazier/expertiza/pull/1                        
https://www.youtube.com/watch?v=A18mfcaAgpo                        
</t>
  </si>
  <si>
    <t>Could not find the PR</t>
  </si>
  <si>
    <t>Doubtful, but maybe if some work is done</t>
  </si>
  <si>
    <t>Video is too long :9:53
"Code frequency" shows commits from previous projects, possibly.
   And there is a table that shows, on y-axis, # of weeks to submission.  This is hard to follow, as it is too high.
"Github metrics" is a link above the name of the team, seems misplaced.
Started by forking Carl Colglaizer's repo, rather the team could have a sepearte PR to see all the code changes made by the team
They removed [graph_type] parameter from code that gets commits.
The "Code frequency" graph is misleading and does not serve full purpose of its addition. Even though the team uses packages to develop these graphs, they still need to group the items in proper order.
Code is free of obvious anti-patterns.
Add expectations to tests, about the new metrics.</t>
  </si>
  <si>
    <t>I thought it would have been better to distill the reasons for rejection of last year's project, rather than just quote the feedback.  They did a very good job of showing the changes to the tables and graphs displayed in their reports.  However, there was hardly anything describing the code changes, and the tests were pasted in, with hardly any description of what they were doing.</t>
  </si>
  <si>
    <t>E1982</t>
  </si>
  <si>
    <t>lli46 qwang20 bsun8 nlai</t>
  </si>
  <si>
    <t xml:space="preserve">http://wiki.expertiza.ncsu.edu/index.php/CSC/ECE_517_Fall_2019_-_E1982._Regulate_changing_of_rubrics_while_projects_are_in_progress                        
https://github.com/Yolanda-Ling-Li/expertiza                        
https://github.com/expertiza/expertiza/pull/1624                        
https://drive.google.com/open?id=1nbpIyGjT43MeJR5w8hixv0vJ-oTmsAYU                        
</t>
  </si>
  <si>
    <t>Yes, probably</t>
  </si>
  <si>
    <t>If you are in the active period, you get a message that if you remove a question, there should be a confirmation prompt/alert prompted to the instructor.(This is because the remove happens from a completely diff. place in the code where it is not so convenient.)
Email functionality is not checked, beyond the right arguments being passed. The team had problems when calling the mailer function.
However, reviewers can still edit their reviews, but all text for the questions has been deleted.  (No, actually, these are different qq. than the reviewer answered before.)
If you only edit qq. on the review, you can’t edit the review (if it has been submitted), but you can view it.
Method find_review_period may well be redundant, though they say it is not.  Find deadlines does exist, but they say not finding a particular deadline.
The method that finds the last assgt. that uses a rubric needs a method comment.
- As the reviews are getting deleted, this feature has to be tested thoroughly. The tests written are not thorugh and does not verify the rows deleted
- If Minor change, when the student hasn't submitted, what would happen?
- Are additional comments deleted? Might be a good idea to keep the additional comments and delete the rest of the answers. In the future, deleted based on each anser rather than the questionnaire can be an option
[Pretty good video!]</t>
  </si>
  <si>
    <t>Good description of the project, except ... it is not clear how you tell whether the wording of a question has been modified, or the question has been replaced by another question.  I also don't understand what "task duration" is.  Is that the same as the active period?  Description of what the code does is good.</t>
  </si>
  <si>
    <t>E1981</t>
  </si>
  <si>
    <t>Student-generated questions added to rubric</t>
  </si>
  <si>
    <t>hyu22 hcao5 cwang64 zding8</t>
  </si>
  <si>
    <t xml:space="preserve">http://wiki.expertiza.ncsu.edu/index.php/CSC/ECE_517_Fall_2019_-_E1981._Student-generated_questions_added_to_rubric                        
https://github.com/Jas0nch/expertiza                        
https://github.com/expertiza/expertiza/pull/1658                        
http://152.46.17.17:8080                        
https://youtu.be/8pLKBOgDggM                        
</t>
  </si>
  <si>
    <t>They showed that the questions for review added by a student for a team is available when a student reviews that team.The code looks clean and reasonable, the function seems long but okay.The UI for the project looks okay, the link for adding supplemental questions could be highlighted in the same way as rest of the project to maintain uniformity.The supplementary questionnaire button is in Chinese!
Some concern that there are too many files modified with code sequences that would be understandable only to someone who understood what the project was supposed to do. code sequences should be moved into private methods.   Revised video (emailed on Dec. 18 at 9:37 PM) shows that it works for questions added by two separate teams.</t>
  </si>
  <si>
    <t>Good description of what is needed, but as to what was done, code files are displayed with no explanation of the strategy followed.  It would be just as easy to read a code listing.  This is also true of the automated tests.</t>
  </si>
  <si>
    <t>E1980</t>
  </si>
  <si>
    <t>nnparik2 bpatel24 sjain26 dshah3</t>
  </si>
  <si>
    <t xml:space="preserve">http://152.46.19.132:8080/                        
https://github.com/expertiza/expertiza/pull/1623                        
https://github.com/ultraultimated/expertiza/tree/beta                        
http://wiki.expertiza.ncsu.edu/index.php/CSC/ECE_517_Fall_2019_-_E1980._Sort_instructor_reports_by_name,_ID,_score,_etc.                        
</t>
  </si>
  <si>
    <t>Probably not</t>
  </si>
  <si>
    <t xml:space="preserve">Name of the assignment displayed correctly. Sorting works fine. 
Fixed the view for author feedback. 
Sort instructor reports by name, ID, score, etc. 
Good demo, explained the issue and its resolution,resolved all the issues and added the arrow at the top of the column which is good. 
Needed more comments at places.
 Code can not be merge,as thier code has different method names which they took from master. So, we have to analyze the issue and rebase the code with beta. 
Logic seems to be ok but the names of the method have to corrected.
Only text strings changed in tests, to match text strings changed in code.
Code is not updated with the beta branch. As per the team, their code breaks if they take an update from the beta branch." 
Remove unwanted code
</t>
  </si>
  <si>
    <t>Quite a good description of the changes to be made and how they were implemented.  There is no mention of automated tests.</t>
  </si>
  <si>
    <t>E1979</t>
  </si>
  <si>
    <t>Completion/progress view</t>
  </si>
  <si>
    <t>wfu4 jcai3 dwang37 yzhu48</t>
  </si>
  <si>
    <t xml:space="preserve">http://wiki.expertiza.ncsu.edu/index.php/CSC/ECE_517_Fall_2019_-_E1979._Completion/Progress_view                        
https://github.com/expertiza/expertiza/pull/1628                        
https://github.com/aranne/expertiza                        
http://152.46.16.57:8080/                        
https://www.youtube.com/watch?v=kTEgNyljAd8   </t>
  </si>
  <si>
    <t>Maybe</t>
  </si>
  <si>
    <t xml:space="preserve">They only needed to add 2 things, as stated on the wiki page.
They added an “average [author?] feedback” column to the review report  But it reports author feedback / max. feedback, which is inconsistent with the next column.  Should be changed to % of max possible score.
Previously, this method only calculates feedback score from one member.
Now it can calculate feedback score from all reviewers.
They used the HighChart Javascript library--is it already in the system, or appropriate to add?
Then the audio drops out.
Some tests pass.  These are tests that they have written.  There are about 4 of them.
However, it would be good if there were a comment at the beginning of the test saying what it did.
Feature implementation looks good. Good documentation, good test cases but comments are needed, there is an inconsistency in score representation of added column (score percentage).
"Inconsistency in the UI. 
Show the percentage instead of total score.
Good comments in the code expect the test cases.
Could add audio towards the end of video where they show test running.
Comments in the test cases missing.
Maybe we can rethink a place to show the links extracted.
Explain the scenarios tested on Wiki."
</t>
  </si>
  <si>
    <t>I think it would have been clearer to start out by describing what you were going to do, and then explain what you didn't need to do, rather than the other way around.  The code snippets provided from _review_report.html.erb don't really give enough context to see what is being done.  When you said you fixed something, it would be helpful to say what was broken and then highlight what fixes it, rather than just giving a code sequence.</t>
  </si>
  <si>
    <t>E1978</t>
  </si>
  <si>
    <t>Fix issues related to deadlines and late policies</t>
  </si>
  <si>
    <t>schawan rbharam hshah4 nnegi2</t>
  </si>
  <si>
    <t>https://github.com/expertiza/expertiza/pull/1661</t>
  </si>
  <si>
    <t>Reverted due to errors in the full request</t>
  </si>
  <si>
    <t>Yes. But all the checks are failing!</t>
  </si>
  <si>
    <t>Created tests for late_policy and late_policies_controller.
Used SimpleCov gem.
Looks like they've changed the whole controller.  Eventually they get the right view.
Code changes are very clean, except for repeating text attributes like centering each time the style is used. 
One reviewer strongly felt that the code lacked comments. There were 2 flash messages removed and I feel they were good enough to convey what went wrong, this could have been retained. It would be nice to have a test to check the min penalty as well rather than just the cap.</t>
  </si>
  <si>
    <t>This design doc has good screenshots, but I agree with some of the reviewers in saying that there should have been more desciption of your changes to the code.  Though thre isn't a lot of coding associated with the project, you could have at least described the changes for Issue 5, for example, instead of just saying that coverage would increase.  Also, collecting all the "before" screenshots together, follwoed by all the "after" screenshots is harder to follow than if "after" directly followed 'before" for each issue.</t>
  </si>
  <si>
    <t>E1977</t>
  </si>
  <si>
    <t>E1976</t>
  </si>
  <si>
    <t>Issues related to assignment creation</t>
  </si>
  <si>
    <t>zzhu25 swang41 bzhang37 tcao</t>
  </si>
  <si>
    <t xml:space="preserve">http://wiki.expertiza.ncsu.edu/index.php/CSC/ECE_517_Fall_2019_-_E1976._Issues_Related_to_Assignment_Creation                        
http://152.46.18.18:8080                        
https://youtu.be/syYaQ6ZTasc                        
https://youtu.be/xV9QueFjXV8                        
https://youtu.be/DuBK4toGk0E                        
https://github.com/Tian97/expertiza                        
https://github.com/expertiza/expertiza/pull/1613                        
</t>
  </si>
  <si>
    <t>E1354 certainly should. The biggest issue I see with merging the rest of the code is commenting. It's not too bad when Github highlights the changes, but if the code was run together with the rest of the code, some of their changes would be inscrutable. So if we merge, we should add appropriate comments.</t>
  </si>
  <si>
    <t>Possibly</t>
  </si>
  <si>
    <t>Most of the functionalities seems to be working as expected. There could be more code comments breifly describing the changes. The Issue 2 to restrict TA to move the assignent only to the courses He/She has access to assumes that the TA was created by the instructor and the instructor will be the parent of the TA , which may not be the case. Code checks for parent of logged-in TA which would not work if somelese else has created the account for the TA. The biggest issue with merging the rest of the code is commenting. It's not too bad when Github highlights the changes, but if the code was run together with the rest of the code, some of the changes would be inscrutable.</t>
  </si>
  <si>
    <t>Good description of the issues and the changes made.  It would have been useful to have shots of the complete screen for Issue 1384.</t>
  </si>
  <si>
    <t>E1975</t>
  </si>
  <si>
    <t>Generalize review versioning</t>
  </si>
  <si>
    <t>psdravid ajain37 atrived skmatta</t>
  </si>
  <si>
    <t xml:space="preserve">http://wiki.expertiza.ncsu.edu/index.php/CSC/ECE_517_Fall_2019_-_E1975._Generalize_Review_Versioning#Non-zero_weighted_scores                        
https://github.com/expertiza/expertiza/pull/1661                        
https://drive.google.com/drive/folders/1mzfro14z1DnvDwe4UrssgpHf1PDoW3an?usp=sharing                
</t>
  </si>
  <si>
    <t xml:space="preserve">The team has implemented the functionality to allow multipart reviewing and score calculation.
The team has delivered the functionalities correctly, however we could not see it working as the demo video did not contain the use case working.  A subsequent video did confirm that the features appeared to work.  However, the tests were not comprehensive, and there are issues with naming, with method names not clearly indicating what the method does.
</t>
  </si>
  <si>
    <t>Good description of testing, and also of the problem and proposed solution.  More detail on the code changes would have been welcome, e.g., how were each of the files changed, and which file contains the weighted_scores_exist method?</t>
  </si>
  <si>
    <t>E1974</t>
  </si>
  <si>
    <t>gsingh23 sadhika2 ggarima bbhardw</t>
  </si>
  <si>
    <t xml:space="preserve">https://expertiza.csc.ncsu.edu/index.php/CSC/ECE_517_Fall_2019_-E1974_Allow_users_to_create_an_account_and_submit_work_to_an_â€%C2%9Dassignmentâ€%C2%9D_Design
http://152.46.17.7:8080/
https://github.com/gurmans/expertiza                
https://github.com/expertiza/expertiza/pull/1649        
https://drive.google.com/open?id=184wS6EdTztDhIH3BzE5SuTzupkRhYIba              
</t>
  </si>
  <si>
    <t>The project had already been implemented by a previous team but this team has addressed the coding issues which were asked along with the feature implementation. Much existing code has been refactored such that the code related to the feature can use existing code.  The functionality is good, but there seems to be too much specific to "conference" assignments in too many unrelated classes.</t>
  </si>
  <si>
    <t>There is a reasonable description of how the changes work.  The document lists the files to be changed, but does not explain how the code changes work.  This is an important limitation.  By contrast, the code for the rspec tests is explained in some detail.</t>
  </si>
  <si>
    <t>E1973</t>
  </si>
  <si>
    <t>Team-based reviewing</t>
  </si>
  <si>
    <t>smyoder bjfisher</t>
  </si>
  <si>
    <t>http://wiki.expertiza.ncsu.edu/index.php/CSC/ECE_517_Fall_2019_-_Project_E1973._Team_Based_Reviewing</t>
  </si>
  <si>
    <t xml:space="preserve">The project allows teams to do reviews together. The team has handled the edge cases well by implementing locks to avoid simultaneous edits of a review.
The release of lock on exiting the review page is a good approach as well.
The error message is helpful to inform the student that the review is being edited.
The code looks clean, using Lockable module is a good practice. The tests are comprehensive and detailed.
</t>
  </si>
  <si>
    <t>Very thorough and readable description of what was done.  The roughest edge is that the Mediawiki code boxes allow text to flow off the right edge, making it very hard to read.  Better to use the Github diff screenshots.</t>
  </si>
  <si>
    <t>2019 Fall OSS</t>
  </si>
  <si>
    <t>E1972</t>
  </si>
  <si>
    <t>OSS project J. Skellington: Accessing assignment rubrics</t>
  </si>
  <si>
    <t>amanend
  (Manendra, Ankit)
 bsinha2
  (Sinha, Bharat)
 gsingh23
  (Singh, Gurman)</t>
  </si>
  <si>
    <t>http://wiki.expertiza.ncsu.edu/index.php/CSC/ECE_517_Fall_2019_-_E1972._OSS_project_J._Skellington:_Accessing_Assignment_Rubrics
 https://github.com/Bharat23/expertiza
 http://152.46.19.166:8080/
 https://github.com/expertiza/expertiza/pull/1512</t>
  </si>
  <si>
    <t xml:space="preserve"> Yes</t>
  </si>
  <si>
    <t>Code changes appropriately commented - tested changes. All works except in redirect to questionnaire-course survey but redirects to assignment feedback. No tests added, manual testing reported in wiki videos</t>
  </si>
  <si>
    <t>Team_ABG</t>
  </si>
  <si>
    <t>For Issue #1186, I did not understand how the fix to tree_dsiplay.jsx actually solved the problem.  The description could have been clearer on that point.  The same is true of Issue #696.
I do think that the changes you made behind the scenes could be tested by automated tests, even if the actual UI pages were not..</t>
  </si>
  <si>
    <t>E1971</t>
  </si>
  <si>
    <t>OSS project Finklestein: Instructors &amp; institutions</t>
  </si>
  <si>
    <t>lli46
  (Li, Ling)
 yzhu48
  (Zhu, Yongjian)
 rwu5
  (Wu, Ruiwen)</t>
  </si>
  <si>
    <t>https://github.com/YongjianZhu/expertiza/tree/dev
 http://wiki.expertiza.ncsu.edu/index.php/CSC/ECE_517_Fall_2019_-_E1971._OSS_project_Finklestein:_Instructors_%26_Institutions#Project_Deployment
 http://152.46.17.133:8080/
 https://github.com/expertiza/expertiza/pull/1506
 NameSizeTypeDate Modified
 - 
 Test_Videos.zip
 169141326
 file
 2019-10-28 17:43:04 -0400</t>
  </si>
  <si>
    <t>After some work, per comments at the right, yes.</t>
  </si>
  <si>
    <t>Pull Request - #1506, Code Climate - Good, Travis - Good. Code - good simple changes, verified
Serious lack of comments.
Many changes were made just to fix indentations.  Not a good idea to reformat source files that you don't need to edit ... after the code is merged, you will appear to be the author of it, which is misleading to anyone who is extending or debugging.
Not a good idea to commit schema.rb; changes to the schema should be specified in migration files.
Putting your own email addresses into the tests can be seriously annoying ... you will receive mail whenever anyone commits changes to Expertiza!</t>
  </si>
  <si>
    <t>Team_4430</t>
  </si>
  <si>
    <t>This wiki page is very well structured and clearly guides the reader through the problem/fixes. 
The test plan, however, does not explain what is tested and how.  It just gives a code listing, and the listing does not even contain any comments
There are links to videos, which is nice, but since the videos do not contain audio, it is much harder to figure out what they are showing than it should be..</t>
  </si>
  <si>
    <t>E1970</t>
  </si>
  <si>
    <t>OSS project Oogie Boogie: User experience &amp; confidence</t>
  </si>
  <si>
    <t>jsukhad
  (Sukhadiya, Jeel Ghanshyam)
 skara2
  (Kara, Sai Shruthi Madhuri)
 yxiao28
  (Xiao, Yunkai)</t>
  </si>
  <si>
    <t>https://github.com/YunkaiXiao/expertiza
 https://github.com/expertiza/expertiza/pull/1534
 http://wiki.expertiza.ncsu.edu/index.php/CSC/CSC_517_Fall_2019/oss_E1970
 https://youtu.be/8cbMswDfF8o
 http://52.87.248.149:3000/</t>
  </si>
  <si>
    <t>Yes, after resolving issue of the commented-out tests.</t>
  </si>
  <si>
    <t>Pull Request - #1534, Code Climate - Good, Travis - Good, Code - good changes and verified
Committed schema.db, which increases difficulty of merging.
Commented out all new tests -- why?</t>
  </si>
  <si>
    <t>Team_9471</t>
  </si>
  <si>
    <t>Problem statements are clear.
In the Solutions, when you present a view, it would be very helpful to identify what in the view has changed (using Github diff view).  It would be a lot clearer than pasting in "before" and "after" code sequences.
In Issue #1352, I don't understand why the dropdown menu would need to be refactored in the future.  I can't understand the two different ways that dropdown is being used.
When you present a test, you should explain in prose what it tests and how it works.  It's also not clear why the first test tries to add a member to an assignment team.
In the "Testing from UI", it's not clear what you intend for a user to do when it says "Do assignment, then submit."  This should be explained in more detail.</t>
  </si>
  <si>
    <t>E1969</t>
  </si>
  <si>
    <t>OSS project Lock, Shock, and Barrel: Review management</t>
  </si>
  <si>
    <t>fcdevita
  (Devita, Forrest C)
 drspruil
  (Spruill, Dylan Raleigh)
 hkshah6
  (Shah, Himol Ketan)</t>
  </si>
  <si>
    <t>https://github.com/expertiza/expertiza/pull/1564
 https://github.com/expertiza/expertiza/pull/1569
 http://wiki.expertiza.ncsu.edu/index.php/CSC/ECE_517_Fall_2019_-_E1969._Fixes_for_reviews_not_being_available#Conclusion
 https://github.com/nopejpg/expertiza
 http://152.46.17.70:8080</t>
  </si>
  <si>
    <t>Issue 1321 couldn't be replicated, despite much trying.
Issue 1211 not fixed - scope was applied to only submission and not resubmission (second round submissions)
The attempted fix was too simple, and the test did not completely set up an assignment; doubtful that it could ever work unless it did.</t>
  </si>
  <si>
    <t>Team_2125</t>
  </si>
  <si>
    <t>The test plan for the first issue is very well explained.  However, the test code overflows the test box and is hard to read.  It could also benefit from comments.  
The second issue is well explained too, except that "Varun's fix" is not identified.  It should be mentioned that it is in Issue #1211, but actually, to keep the reader from having to consult other sources, some of the description of that issue could have been included in this wiki page.
The .png files are really very large, and that detracts from readability.</t>
  </si>
  <si>
    <t>E1968</t>
  </si>
  <si>
    <t>Fixes for adding members to teams</t>
  </si>
  <si>
    <t>yshi23
  (Shi, Yunxuan)
 bzhang37
  (Zhang, Bowen)
 hyu22
  (Yu, Heng)</t>
  </si>
  <si>
    <t>https://github.com/eerxuan/expertiza
 https://youtu.be/j8JiQYXdiig
 http://wiki.expertiza.ncsu.edu/index.php/CSC/ECE_517_Fall_2019_-_E1968._Fixes_for_adding_members_to_teams
 http://152.46.17.84:8080/
 https://github.com/expertiza/expertiza/pull/1515</t>
  </si>
  <si>
    <t>Yes, all test cases passed.</t>
  </si>
  <si>
    <t>1) Unserstood the errors really well.
2) Properly explained the scnarios how to replicate the errors.
3) Their solution is explained properly. 
4) One of the edge cases was not tested where you add a new student which is not in the system. I have asked the team to fix their deployment so that I can test that. - This is fixed now.
5) The deployed code doesn't work.</t>
  </si>
  <si>
    <t>Team_6823</t>
  </si>
  <si>
    <t>1) Clearly explained what their task was and how they resolved the issue.
2) Showed before and after code snippets side by side.  This can also be done with Github diff view.
3) Could have added test-case code snippets as well as explaining their test cases. 
4) The formatting is very basic, and consequently the various text elements are not well set off from each other.  Mediawiki markup (https://www.mediawiki.org/wiki/Help:Formatting) can be used to make it easier to read.</t>
  </si>
  <si>
    <t>E1967</t>
  </si>
  <si>
    <t>Fix glitches in author feedback</t>
  </si>
  <si>
    <t>pmgaikwa
  (Gaikwad, Pranav Maruti)
 oskulkar
  (Kulkarni, Omkar Sunil)
 bpatel24
  (Patel, Bin Navinchandra)</t>
  </si>
  <si>
    <t>http://152.46.16.70:8080/
 http://wiki.expertiza.ncsu.edu/index.php/CSC/ECE_517_Fall_2019_-_E1967._Fix_glitches_in_author_feedback
 https://github.com/expertiza/expertiza/pull/1536
 http://wiki.expertiza.ncsu.edu/index.php/E1967_:_See_It_In_Action</t>
  </si>
  <si>
    <t>Yes, proper test cases written and they all pass.  Try to fix LoD violation at right.</t>
  </si>
  <si>
    <t>1) Good comments in the code.
2) Completed their task.
3) Tested the issue in the deployed code. It works fine.
4) All test cases are passing.
5) However, this long string of calls is unreadable and violates the LoD: User.find(Participant.find(ResponseMap.find(Response.find(review.id).map_id).reviewee_id).user_id).fullname(session[:ip]).to_s</t>
  </si>
  <si>
    <t>Team_8948</t>
  </si>
  <si>
    <t xml:space="preserve">1. Explained their task and solution well.
2. I'm confused when you say, "This team reviewed assignments of Team 29 and Team 30.".  In Expertiza, teams don't review submissions; users do.  Looking at the diagram clarifies that you only consider the submissions reviewed by the first member of the team.  The prose should be changed to reflect that.
3. I assume that your diagrams are "before" and "after" you have changed the behavior.  But the wiki doesn't identify them as old and new.
4, Created mock test data and explained how to test from UI.
5. No code is shown for automated tests, only a single sentence that overflows a text box.  The test plan needs to be much better defined.  How do you know that the right reviews appear on the right user's heatgrid?
</t>
  </si>
  <si>
    <t>E1966</t>
  </si>
  <si>
    <t>Partials</t>
  </si>
  <si>
    <t>wfu4
  (Fu, Weiran)
 hwang85
  (Wang, Hongli)
 qwang20
  (Wang, Qingyan)</t>
  </si>
  <si>
    <t>https://github.com/aranne/expertiza
 http://wiki.expertiza.ncsu.edu/index.php/CSC/ECE_517_Fall_2019_-_E1966._Tabbed_reviews_partial_file_refactor_for_displaying_the_alternate_view_of_reviews
 https://github.com/expertiza/expertiza/pull/1542
 http://152.46.17.70:8080</t>
  </si>
  <si>
    <t>Can be merged as all the test cases is passing and their deployed build showed how the changes works.</t>
  </si>
  <si>
    <t xml:space="preserve">Pros:
1) Followed DRY principle
2) Few Smaller methods
3) Completed the task
4) Deployed code works according to the description.
Cons:
1) Needs more comments
2) Remove unused code
3) Test cases written with no comments. 
4) Few methods which are very long, could have been broken into various methods
Reviews:
1) Test cases are properly designed and implemented
2) Changes were made looking at the students reviews – good thing. This way they improved their code
3) Few lines of newly added code are not covered with test cases. Test cases should be written for every new line of code.
Tests:
1) Written test cases for new code they wrote.
2) Comments in the code is required. Long lines of code in the spec files but with no comments. </t>
  </si>
  <si>
    <t>Team_136</t>
  </si>
  <si>
    <t xml:space="preserve">In the "What to do" section, it is not clear whether the two partials you name are new partials.
It is also not clear whether more or less code is being duplicated than in the current system.
It is not clear how the two different partials are used.  How do they interact?
I also find the "Student end" section confusing. For example, what is in the "statistics view"?
When you give a code snippet and say that it does something, you should point out the changes made to accomplish them.  Github diff view would be good for this.  In the current document, I'm left with just the code, and I need to try to figure out what it does and how you changed it.
To summarize, too much code is shown with too little explanation.
</t>
  </si>
  <si>
    <t>E1965</t>
  </si>
  <si>
    <t>jcai3
  (Cai, Jing)
 syu25
  (Yu, Sichao)
 hcao5
  (Cao, Hua)</t>
  </si>
  <si>
    <t>http://wiki.expertiza.ncsu.edu/index.php/CSC/ECE_517_Fall_2019_-_Project_E1965._Review_report_should_link_to_the_usual_view_for_reviews#Team_members
 https://github.com/expertiza/expertiza/pull/1532
 https://github.com/ljxxcaijing/expertiza/tree/beta
 https://youtu.be/Kd6iaHIT3Y8
 http://152.46.18.123:8080</t>
  </si>
  <si>
    <t xml:space="preserve"> </t>
  </si>
  <si>
    <t>No, due to violation of DRY principle.</t>
  </si>
  <si>
    <t>Pros:
1) Code works as intended
2) Passing build
3) Good coding practice 
4) Some comments in code
Cons:
1) Code for displaying a review is essentially copied instead of parametrized and reused, violating the DRY principle.
2) No new tests added although they do have a well detailed manual test plan. They did consult me regarding writing test and but I was not sure how to test display changes, since even the data being displayed was the same.
So they dont really deserve to lose a lot of marks for that.
3) HTML codes (&lt;b&gt;) are left visible in the view.</t>
  </si>
  <si>
    <t>Team_7217</t>
  </si>
  <si>
    <t>The code changes are hard to follow when you paste in successive versions of the code.  Github diff view would have more clearly shown the changes.  It would be very useful if your narrative described how the code worked.</t>
  </si>
  <si>
    <t>E1964</t>
  </si>
  <si>
    <t>Export review scores for projects</t>
  </si>
  <si>
    <t>yrthakka
  (Thakkar, Yash Rameshbhai)
 pdave2
  (Dave, Pururaj Jyotindra)
 mgparekh
  (Parekh, Maharshi Gaurang)</t>
  </si>
  <si>
    <t>http://wiki.expertiza.ncsu.edu/index.php/CSC/ECE_517_Fall_2019_-_E1964._Export_review_scores_for_projects
 https://github.com/expertiza/expertiza/pull/1562
 http://152.46.18.93:8080
 https://github.com/pururaj1908/expertiza
 NameSizeTypeDate Modified
 - 
 README_E1964.txt
 1267
 file
 2019-10-28 23:45:18 -0400</t>
  </si>
  <si>
    <t>Yes, assuming that the New Framework for Import and Export doesn't render it redundant.</t>
  </si>
  <si>
    <t>1) Code is very clean, modular and well commented
2) Functionality requested is implemented well. 
3) Passing Travis CI
4) Team has added tests not just for their feature but also other tests for the page they were working on, which I feel is really good.
5) Can and should be immediately merged, helping the TA's export scores reducing the scraping work.
6) But shouldn't this functionality be in import_file_controller.rb?  Why not?</t>
  </si>
  <si>
    <t>Team_2725</t>
  </si>
  <si>
    <t>1) Concise and to the point wiki
2) Good architecture diagram and clear explanation of code changes
3) Tests are explained clearly
4) Only con is they have copy pasted the whole code, but since the code is well commented, it is still easy to understand.  Would have been much more readable if presented in Github diff view.</t>
  </si>
  <si>
    <t>E1963</t>
  </si>
  <si>
    <t>Changing assignment_participant role</t>
  </si>
  <si>
    <t>rdua2
  (Dua, Richa)
 rnarasi2
  (Narasimhan, Roshani)
 nnegi2
  (Negi, Natansh)</t>
  </si>
  <si>
    <t>https://github.com/RoshaniN/expertiza-team-622/
 http://wiki.expertiza.ncsu.edu/index.php/CSC/ECE_517_Fall_2019_-_E1963._Changing_assignment_participant_role
 http://152.46.19.56:8080/
 https://github.com/expertiza/expertiza/pull/1533</t>
  </si>
  <si>
    <t>Yes, if hardcoded index is removed.</t>
  </si>
  <si>
    <t>The travis CI build passes. 
Although the team has identified and have resolved a lot of issues in the system , there are very few code changes. Most of the bug changes are one liner. 
Tests:
2 new tests were added.
Reviews : 
The team got good reviews from most of the people. Some people complained about the missing button from the UI and failing build, so I cross checked with them. The changes are reflected in the deployed application. The last build was failing but the last commit only had code comments. The team was not sure about the issue so i asked them to commit one more dummy comment to re-trigger the build. The build passed without any code changes.
Video:
The video was not submitted with the project.
Feedback:
The team has hardcoded the index of the array to get the models. This will work in the given scenario but is not a scalable solution.
Example : Object.const_get(allowed_models[0]).export_headers(params[:id])</t>
  </si>
  <si>
    <t>Team_7557</t>
  </si>
  <si>
    <t>The documentation looks very good. The team has not only added the probelm statement but also identified few issues that existed in the system. 
The team has clearly explained the code changes.
The only suggestion I would make for improvement is that the team could have included the code changes, e.g., in Github's diff view.  Oh, and the tests in the test plan were not described as well as the other chnages.  Would be good to explain how they work.</t>
  </si>
  <si>
    <t>E1962</t>
  </si>
  <si>
    <t>Email notification upon account creation</t>
  </si>
  <si>
    <t>vpshah
  (Shah, Vishva Pradeep)
 hshah4
  (Shah, Hitarth Himanshu)
 uvasani
  (Vasani, Urvish Rajeshbhai)</t>
  </si>
  <si>
    <r>
      <rPr>
        <rFont val="Calibri, sans-serif"/>
        <color rgb="FF000000"/>
        <sz val="11.0"/>
      </rPr>
      <t xml:space="preserve">https://github.com/urvishvasani/expertiza
 http://152.46.16.203:8080/
 https://drive.google.com/file/d/1FLpnvPBCqttmAZIsWW4USA912Ig43osY/view
 http://wiki.expertiza.ncsu.edu/index.php/CSC/ECE_517_Fall_2019_-_E1962._Email_notification_upon_account_creation
 </t>
    </r>
    <r>
      <rPr>
        <rFont val="Calibri, sans-serif"/>
        <color rgb="FF1155CC"/>
        <sz val="11.0"/>
        <u/>
      </rPr>
      <t>https://github.com/expertiza/expertiza/pull/1561</t>
    </r>
  </si>
  <si>
    <t>Yes, after removing commented-out code.</t>
  </si>
  <si>
    <t xml:space="preserve">2 bugs fixed:
1. upon adding a partcipant whose account does not exist was not recieving an email of accunt creation.
2. when the user does not exist , only the user was craeted but was not added as a participitant.
All changes looks fine. The team has added the tests and corrected the tests that were impacted due to the code changes in the system. The password field while uploading the user does not make sense , because a random password is generated verytime a new user is created.
Code that is no longer used is commented out.  It should have been removed!  Commented-out code may distract developers who read the code later, and they may wonder if they might need to re-enable it.
Whenever a new user is created , the mail is sent automatically on user save. We done need to call the mailer explicitly from all the places. Reason why this works:
before_validation :randomize_password, if: -&gt;(user) { user.new_record? &amp;&amp; user.password.blank? } # AuthLogic
after_create :email_welcome
The corrected functionality worked fine in the demonstarted video. 
I have tested the fuctionality and that seems to work fine as well now. I have also tested the other flows of email like resetting users password ,etc. Seems to work fine.
Reviews :
The team got very good reviews from the other peers.
Other feedbacks:
Since the email is sent by default whenever a new user is craeted , the email are explicitly being sent at many other places as well which could have been removed by the team as well.
</t>
  </si>
  <si>
    <t>Team_6784</t>
  </si>
  <si>
    <t>Although I disagree with some of the design decisions, the changes are very well documented.
Using the Github diff view is an excellent way to show your changes.
Unfortunately, many of the changes are to comment out code.  Code that is no longer needed should be deleted.
Explanation of the assignment_participant changes was very terse.  More complete explanation would save the next person considerable time.
It is not a good idea to email students whenever they are added to an assignment.  I don't know of any other class where students are emailed every time work is assigned.  Students may want to opt out of this, and there is no way to do so at present.
Team found another bug, which I will report to Github.</t>
  </si>
  <si>
    <t>E1961</t>
  </si>
  <si>
    <t>swen4
  (Wen, Siwei)
 zzhu25
  (Zhu, Zhifeng)
 swang41
  (Wang, Shuzheng)</t>
  </si>
  <si>
    <r>
      <rPr>
        <rFont val="Calibri, sans-serif"/>
        <color rgb="FF1155CC"/>
        <sz val="11.0"/>
        <u/>
      </rPr>
      <t>https://github.com/wangdavid84/expertiza.git</t>
    </r>
    <r>
      <rPr>
        <rFont val="Calibri, sans-serif"/>
        <color rgb="FF000000"/>
        <sz val="11.0"/>
      </rPr>
      <t xml:space="preserve">
 http://152.46.17.97:8080
 https://www.youtube.com/watch?v=DSDINg_N1tQ&amp;feature=youtu.be</t>
    </r>
  </si>
  <si>
    <r>
      <rPr>
        <rFont val="Arial"/>
      </rPr>
      <t xml:space="preserve">There was no pull request, so I created one.  14 files have been changed.
The fact that there was no pull request means that Travis CI and Code Climate did not run on this team’s code.  Several reviewers report that the build does not pass.
</t>
    </r>
    <r>
      <rPr>
        <rFont val="Arial"/>
        <b/>
      </rPr>
      <t>Code</t>
    </r>
    <r>
      <rPr>
        <rFont val="Arial"/>
      </rPr>
      <t xml:space="preserve">
• There is a new method in submitted_content_controller to email all reviewers.  Shouldn’t it be in an emailer class?  And I am quite sure that there is other code to do this elsewhere in the system, since these emails have actually been sent sometime in the past.
• In submitted_content_controller&gt;&gt;submit_file, a local variable participant is changed to an instance variable @participant without an explanation.  This method also contains inline code for emailing reviewers.  That should have been done via a method call.
• Several tests have been commented out in mailer.rb, with no explanation.
• A method is_in_first_round is added to assignment_participant.  Why?  The first round isn’t special (there may be more than two rounds), and assignment_participant seems like the wrong place to put it.
• An email method is added to review_response_map.  Email functionality is being littered throughout the system in a way that could confuse readers of the code.  An effort should be made to centralize it in the email classes.</t>
    </r>
  </si>
  <si>
    <t>Team_2051</t>
  </si>
  <si>
    <t>The documentation was not submitted, though it could be found by searching the wiki.  The description essentially just consists of before and after versions of the code, with almost no explanation of the changes.  There is a video, but it does not contain audio, so it is very difficult to follow.  It apparently shows email being sent and received.</t>
  </si>
  <si>
    <t>E1960</t>
  </si>
  <si>
    <t>Create new late policy successfully and fixing Back" link "</t>
  </si>
  <si>
    <t>rghorse
  (Ghorse, Ritesh Narendra)
 jjjagtap
  (Jagtap, Jay Jagdish)
 dshah3
  (Shah, Devarsh Kaushal)</t>
  </si>
  <si>
    <r>
      <rPr>
        <rFont val="Calibri, sans-serif"/>
        <color rgb="FF000000"/>
        <sz val="11.0"/>
      </rPr>
      <t xml:space="preserve">http://wiki.expertiza.ncsu.edu/index.php/CSC/ECE_517_Fall_2019_-_E1960._Create_new_late_policy_successfully_and_fixing_%22Back%22_link
 </t>
    </r>
    <r>
      <rPr>
        <rFont val="Calibri, sans-serif"/>
        <color rgb="FF1155CC"/>
        <sz val="11.0"/>
        <u/>
      </rPr>
      <t>https://github.com/expertiza/expertiza/pull/1523</t>
    </r>
    <r>
      <rPr>
        <rFont val="Calibri, sans-serif"/>
        <color rgb="FF000000"/>
        <sz val="11.0"/>
      </rPr>
      <t xml:space="preserve">
 http://152.46.17.218:8080</t>
    </r>
  </si>
  <si>
    <t>No - Too many conflicts (Don't know how)</t>
  </si>
  <si>
    <t>96 --&gt; 97</t>
  </si>
  <si>
    <t xml:space="preserve">1.Added the test cases
2.Code is readable
1.Some peer review comments are not addressed as change in schema.db and naming of "policyx" in late_policies_controller.rb
2.Did not add back link at the page where we display list of policies, but can be ignored as not much of a big problem for now.   </t>
  </si>
  <si>
    <t>Team_88</t>
  </si>
  <si>
    <t>The description of the problems is separated from the solution.  Would have been better to just list the problems (in one line), and then juxtapose the problem description with the solution.
The code in spec/models/late_policy_spec.rb should have been explained, like the changes in other files were. 
The automated test cases were just listed.  Ideally, the test code should have been shown, and the tests explained.  Actually, this was done for the tests for the back link, but not for testing the creation of penalty policies.</t>
  </si>
  <si>
    <t>E1959</t>
  </si>
  <si>
    <t>Intelligent copying of assignments without topics (Issue #1341)</t>
  </si>
  <si>
    <t>speredd
  (Pereddy, Subha Sekhar Reddy)
 smuvval
  (Muvvala, Sai Vishnu)
 rspillai
  (Pillai, Rohan Satheesh)</t>
  </si>
  <si>
    <t>http://wiki.expertiza.ncsu.edu/index.php/CSC/ECE_517_Fall_2019_-_E1959._Intelligent_copying_of_assignments_without_topics
 http://152.46.17.204:8080/
 https://github.com/expertiza/expertiza/pull/1524
 https://github.com/subhasekhar/expertiza</t>
  </si>
  <si>
    <t>Could have been raised to 97 if they got rid of whitespace changes &amp; extraneous files (displaytree.js), but they didn't have time.</t>
  </si>
  <si>
    <t xml:space="preserve">1.Overall they implemented the functionality.
2.Code looks fine.
3. Added test cases which cover the change
(GemFile.lock changed, PR on master, changed other file trees.js)
 Your code is mergable but need to fix the above problems, if fixed we can give you+2%) 
</t>
  </si>
  <si>
    <t>Team_7243</t>
  </si>
  <si>
    <t xml:space="preserve">"-The team has  done a great job on the writeup of the project.
-The screenshots of code are useful, but the changes could have been shown more concisely with Github diff view.
-All the required subheadings have been covered in the writeup.
-They also added a section on ""Our Recommendation for a Separate Issue (For Instructors only)"", which includes the issue that the team feels should be addressed on priority. 
-They have also added enough information on how to precisely test their added feature which is great. 
-Explained the test plans 
</t>
  </si>
  <si>
    <t>E1958</t>
  </si>
  <si>
    <t>adesai5
  (Desai, Anmol Akshay)
 sjain26
  (Jain, Suyash)
 pharida
  (Haridas Menon, Parvathy)</t>
  </si>
  <si>
    <t>http://wiki.expertiza.ncsu.edu/index.php/CSC/ECE_517_Fall_2019_-_E1958._Two_issues_related_to_assignment_management
 http://152.46.16.53:8080
 https://github.com/expertiza/expertiza/pull/1594
 https://github.com/expertiza/expertiza/pull/1603
 https://github.com/Anmoldesai1997/expertiza</t>
  </si>
  <si>
    <t>No.</t>
  </si>
  <si>
    <t>Created two pull request for separate issue.
Issue 1430 Pull Request 1603: It has small code change but the Code coverage decreased by 13.7%, has changes that fixes the issue.
 Issue 1384 Pull Request 1594 : Does not resolve the issue 1384, this PR is messy, has code changes for both the issues. (we should defer this pull request.)</t>
  </si>
  <si>
    <t>Team_8333</t>
  </si>
  <si>
    <r>
      <rPr/>
      <t xml:space="preserve">In the problem statement, the first two paragraphs of prose apply to Issue 1430, but that is not clear from the formatting.  A heading needs to be added.  Actually, I just did that for you.  BTW, there should be a space between "Issue" and the issue number, e.g., "Issue 1430".  I added the space too.
I'm not sure what it means to say, "We implemented them both on local."
When you show before and after views of code, it would be much clearer to use the Github diff view.
</t>
    </r>
    <r>
      <rPr>
        <i/>
      </rPr>
      <t>No screen shot of either of the two issue fixes.
No instruction on how to manually test.
No detail about issue #1384 fix (just code changes)
No reference links for thier work.</t>
    </r>
  </si>
  <si>
    <t>E1957</t>
  </si>
  <si>
    <t>mliu25
  (Liu, Minghao)
 czhong4
  (Zhong, Chongxin)
 xfang22
  (Fang, Xiaorui)</t>
  </si>
  <si>
    <t>https://github.com/blsk22/expertiza
 http://152.46.17.237:8080
https://expertiza.csc.ncsu.edu/index.php/CSC/ECE_517_Fall_2019_-_E1957._Time_travel_Not_Allowed..!!!_Restrict_TAsâ€™_ability_to_change_their_own_grade_%2B_limit_file-size_upload
 https://github.com/expertiza/expertiza/pull/1602</t>
  </si>
  <si>
    <t>- Comments are added but is not easy to understand
- Poor choice of variable names
- Access check is only added to Instructor but not to "Teaching Assistant"
File Upload
- Harcoded 5 MB size limit in both front end and back end, could have added an attribute to assignment poilicy (but was optional)
- Too much javascript utilization to verify file type in Front end. Could have used ruby's inbuilt functionality to achieve this
Only one test case is added and is not extensive</t>
  </si>
  <si>
    <t>Team_9271</t>
  </si>
  <si>
    <t>Solution and implementation is explained in few sentences. The explanations start out quite good, though they could have been more detailed, especially for the section on limiting file size.
The code is shown in a wiki textbox.  Unfortunately, it overflows the textbox.  It would have been much better to cut and paste text from the Github diff view.
I'm not sure what "automotive test" refers to!  The UI tests need to be explained in more detail, preferably with screenshots.</t>
  </si>
  <si>
    <t>E1956</t>
  </si>
  <si>
    <t>There is no shortcut to get free review points: Review Assignment Bug</t>
  </si>
  <si>
    <t>dshah4
  (Shah, Dhruvil Sanjaykumar)
 nnparik2
  (Parikh, Neel Nitinbhai)
 smeneze
  (Menezes, Steve Victor)</t>
  </si>
  <si>
    <t>http://wiki.expertiza.ncsu.edu/index.php/CSC/ECE_517_Fall_2019_-_E1956._There_is_no_shortcut_to_get_free_review_points:_Review_Assignment_Bug
 http://152.46.19.135:8080/
 https://github.com/expertiza/expertiza/pull/1522
 https://drive.google.com/file/d/1oH1P0guHRFqb5ybWBa7U1Pieka5W7gKH/view?usp=sharing
 NameSizeTypeDate Modified
 - 
 E1956_.mov
 48870067
 file
 2019-11-11 16:36:52 -0500</t>
  </si>
  <si>
    <t>Run the code with new test cases and maybe merge if that passes</t>
  </si>
  <si>
    <t>Yes, merge.</t>
  </si>
  <si>
    <t xml:space="preserve">- Travis CI Passing
- while discussing, had asked to look into another feature that was not initially mentioned if time permits. The team proactively did fix the issue
-  Flash error message could have been better: "You cannot do more reviews when you have "+ assignment.max_outstanding_reviews + "reviews to do"
- in  app/controllers/tree_display_controller.rb, the team faced Travis CI to be failed due to Invalid tree structure- Added a exceptio handing to handle this (May or may not be necessary when merging)
- Team has added 4 new test cases for their code an dmodified one older one
- Video doen't show if their test cases is passing
Overall Looks good. </t>
  </si>
  <si>
    <t>Team_DNS</t>
  </si>
  <si>
    <t>Explanation of the problem statement where the student is allowed to do more reviews than the specified number in the assignment poilicy could have been better
.  However after that, the explanations of the changes are very complete and understandable.  There is also a good description of the changes that were made to each file.
It would have been clearer to cut and paste test from the Github diff view than to use the textboxes in the wiki, which are monochrome with fixed-width characters.</t>
  </si>
  <si>
    <t>E1955</t>
  </si>
  <si>
    <t>rlchaval
  (Chavali, Ram Lohith)
 tkundra
  (Kundra, Tushar)
 arungta
  (Rungta, Ayushi)</t>
  </si>
  <si>
    <t>https://github.com/tusharkundra/expertiza
 http://wiki.expertiza.ncsu.edu/index.php/CSC/ECE_517_Fall_2019_-_E1955.Write_unit_tests_for_student_task.rb
 https://drive.google.com/file/d/1O-1k3mqo1yRMp0yxgTIuM3P5cegB5DCy/view
 https://github.com/expertiza/expertiza/pull/1549</t>
  </si>
  <si>
    <t>Pull Request - #1549, Code Climate - Good, Travis - Good, Coveralls - decrease (-23.1% overall - not from changes), Testing on student_task +98.94%. Testing code is acceptable: covers appropriate paths, but it is very difficult to determine if the tests are deep or shallow without any comments about what they are supposed to be testing. In general, tests that something is not nil are shallow tests.</t>
  </si>
  <si>
    <t>Team_2542</t>
  </si>
  <si>
    <t>There are lots of spelling/grammer/formatting errors. 
[About Expertiza/About Rspec] -&gt; ok, 
[DbSchema] -&gt; this section seems to have no importance. If it is necessary then more explanation of the schema design and relevance to the project is necessary. The image here is hard to navigate/read. 
[Project Description] -&gt; layout of this section is hard to follow. Indentations indicate wrong subsections for function explanations and testing plan. Simply changing the font for the method name, and inlining the description after the method name, would have improved readability greatly.
Several functions are missing explanation (needs to be consistent). In the test plan, the mock objects are just listed.  It would have been very helpful to have a description of why they were created and how they would be used.  Ideally, that should be done in comments inside the code.  Additionally, why were only some functions elaborated upon? Were these functions more important? 
However, the description of what the tests do is very good, and among the best I have seen this year.  To some extent, this counterbalances the deficiencies in other areas of this report, especially since this is a testing project.
[Video] -&gt; Editing is needed to draw focus to the results of the test rather than spending 3 minutes watching '...'. In general, the overall formatting of the wiki needs to be revised to enhance reader understanding and clarity. Images should be embedded rather than linked and reference as to why they are included. Otherwise, the reader has not motivation to redirect to the image and make connections.</t>
  </si>
  <si>
    <t>E1954</t>
  </si>
  <si>
    <t>amandli
  (Mandliya, Amit)
 apkulka2
  (Kulkarni, Anuja Prashant)
 sskhanda
  (Khandale, Samruddhi Shailendra)</t>
  </si>
  <si>
    <t>https://drive.google.com/open?id=1Xcr7tfVQU9xFmeEcR3iuIWUzuzjVsUNK
 https://drive.google.com/open?id=1O81Er0QrVceDiVhHVlC57BDToVFuIgDN
 http://wiki.expertiza.ncsu.edu/index.php/CSC/ECE_517_Fall_2019_-_E1954._Auto-generate_submission_directory_names_based_on_assignment_names#References
 https://github.com/anujak30/expertiza-1
 http://152.46.19.163:8080/
 https://github.com/expertiza/expertiza/pull/1574
 NameSizeTypeDate Modified
 - 
 Description_of_submitted_hyperlinks.txt
 680
 file
 2019-10-29 00:48:57 -0400</t>
  </si>
  <si>
    <t>No, the code cannot be merged without fixing the bugs.</t>
  </si>
  <si>
    <t xml:space="preserve">Travis Tests have passed.
Functionality has been implemented:
&gt; Assignment submission directory name spaces get replaced 
by the underscores.
&gt; Two Assignments with same name cannot be saved 
within the same course.
&gt; One test case added.
Deductions:
The code has no comments at all.
The code breaks on changing the name of the assignment 
while creating it. It throws NoMethodError in AssignmentsController#create 
</t>
  </si>
  <si>
    <t>Team_8535</t>
  </si>
  <si>
    <t xml:space="preserve">Wiki lists the code changes, but there are not many comments, and the approach is not described in prose.  Probably would not help a reader learn what was done.
They have added screenshots for changes and the test case they added.
Similarly, there is little prose to explain what the tests are doing.  There are screenshots, but they are huge, relatively speaking, and the reader would need to zoom out to read them.
</t>
  </si>
  <si>
    <t>E1953</t>
  </si>
  <si>
    <t>mtrawic
  (Trawick, Mark)
 sadhika2
  (Adhikari, Sameer)
 smyoder
  (Yoder, Spencer)</t>
  </si>
  <si>
    <t>http://wiki.expertiza.ncsu.edu/index.php/CSC/ECE_517_Fall_2019_-_E1953._Tagging_report_for_student
 https://github.com/expertiza/expertiza/pull/1572
 https://github.com/sameeradh/expertiza
 http://152.46.18.192:8080/</t>
  </si>
  <si>
    <r>
      <rPr/>
      <t xml:space="preserve">Youtube video not submitted. 
Travis CI checks are failing. 
The functionality has been implemented correctly ans does give a correct count and the count increases on tagging more review comments.
The team has mentioned the total number of tags and number of tags that that the students have tagged for each round.
The code implementation and design looks good.
The counting of tags has been done dynamically and displays the correct counts. 
The tcounts have been also shown on an assignment level.
All the changes done are well commented.
The tests are detailed and looks good.
</t>
    </r>
    <r>
      <rPr>
        <b/>
      </rPr>
      <t>Could be improved:</t>
    </r>
    <r>
      <rPr/>
      <t xml:space="preserve">
The alternative view for an assignment with tagging enabled breaks.
Code changes breaking existing functionality makes it not mergeable.
The number of tags should be depicted as "7 out of 25".
The number of tags for each assignment should be placed in the HeatGrid.
The tests mentions that they have been copied from another source.</t>
    </r>
  </si>
  <si>
    <t>Team_2484</t>
  </si>
  <si>
    <r>
      <rPr/>
      <t xml:space="preserve">The "Problem Statement" section is not really a problem statement; it is a list of what was accomplished.  It should be later on in the report.
Tagging is about more than helpfulness; it can be used to identify whether or not a review comment has any characteristic.  If someone was unfamiliar with tagging, this explanation would not be of much help in understanding it.
The design diagram is quite useful.  So is the process diagram.
The code for all the tasks should include comments!  There are comments only for Task 3.
The test cases not explained at all, beyond a listing of the code. There should be an explanation of what the test does, and why it verifies that the new functionality works.
When it says, You have tagged </t>
    </r>
    <r>
      <rPr>
        <i/>
      </rPr>
      <t>x</t>
    </r>
    <r>
      <rPr/>
      <t xml:space="preserve"> of </t>
    </r>
    <r>
      <rPr>
        <i/>
      </rPr>
      <t>y</t>
    </r>
    <r>
      <rPr/>
      <t xml:space="preserve"> reviews, shouldn't it say, You have tagged </t>
    </r>
    <r>
      <rPr>
        <i/>
      </rPr>
      <t xml:space="preserve">x </t>
    </r>
    <r>
      <rPr/>
      <t xml:space="preserve">of </t>
    </r>
    <r>
      <rPr>
        <i/>
      </rPr>
      <t>y</t>
    </r>
    <r>
      <rPr/>
      <t xml:space="preserve"> review </t>
    </r>
    <r>
      <rPr>
        <b/>
      </rPr>
      <t>comments</t>
    </r>
    <r>
      <rPr/>
      <t>?  In the example, there are only 17 reviews, but it says that there were 25 reviews to tag.
So, the visuals on this wiki are very good, but the prose needs improvement.</t>
    </r>
  </si>
  <si>
    <t>E1952</t>
  </si>
  <si>
    <t>E1951</t>
  </si>
  <si>
    <t>dwang37
  (Wang, Dongyuan)
 cwang64
  (Wang, Chien-Yuan)
 bsun8
  (Sun, Bo)</t>
  </si>
  <si>
    <t>http://wiki.expertiza.ncsu.edu/index.php/CSC/ECE_517_Fall_2019_-_E1951._Remove_multiple_topics_at_a_time
 http://152.7.99.26:8080/
 https://github.com/expertiza/expertiza/pull/1520
 https://github.com/nbPeterWang/expertiza/tree/beta</t>
  </si>
  <si>
    <t>Needs thorough testing, needs to work for staggered-deadline assgts.</t>
  </si>
  <si>
    <t>1.The code is readable, the naming is good with good comments .
2.Not working on staggered assignments(If I check the staggered assignment checkbox).
3.Shallow test cases. 
4.Before it is merged, it needs a thorough testing on all types of assignment.</t>
  </si>
  <si>
    <t>Team_3623</t>
  </si>
  <si>
    <t>The wiki page does not provide background to what topics it is talking about, and does not explain where in the UI the change would be made.  I have added the description by copying it from the project specification, so future readers will understand what it is about.
The solution should be described before manual testing.
Seems like the "Select all" link should precede the "Delete selected topics" link.
The png files have really large text, and code text is tiny.  This makes the page hard to read.
But, the changes have been described quite well.</t>
  </si>
  <si>
    <t>E1950</t>
  </si>
  <si>
    <t>E1949</t>
  </si>
  <si>
    <t>Write Unit Tests for Importing assignment participants and import glitches</t>
  </si>
  <si>
    <t>tcao
  (Cao, Tianqiang)
 mdong4
  (Dong, Mengyan)
 nlai
  (Lai, Nien-Chun)</t>
  </si>
  <si>
    <r>
      <rPr>
        <rFont val="Calibri, sans-serif"/>
        <color rgb="FF000000"/>
        <sz val="11.0"/>
      </rPr>
      <t xml:space="preserve">http://wiki.expertiza.ncsu.edu/index.php/CSC/ECE_517_Fall_2019_-_E1949._Write_Unit_Tests_for_Importing_assignment_participants_and_import_glitches
 </t>
    </r>
    <r>
      <rPr>
        <rFont val="Calibri, sans-serif"/>
        <color rgb="FF1155CC"/>
        <sz val="11.0"/>
        <u/>
      </rPr>
      <t>https://github.com/dppss91102/expertiza</t>
    </r>
    <r>
      <rPr>
        <rFont val="Calibri, sans-serif"/>
        <color rgb="FF000000"/>
        <sz val="11.0"/>
      </rPr>
      <t xml:space="preserve">
 https://youtu.be/xibPEMPYjIA</t>
    </r>
  </si>
  <si>
    <t>Yes, after writing comments for the code.</t>
  </si>
  <si>
    <r>
      <rPr>
        <b/>
      </rPr>
      <t xml:space="preserve">Code:
</t>
    </r>
    <r>
      <rPr/>
      <t>This test project is a special case. They have written test case for import functionality (E1938). One of the tasks is to add a test for a function that does not exists yet, namely to rename the existing team when there is an import conflict. Therefore, as per test-driven development practice, the test will always fail until the function is correctly implemented.
The importance of this project was to impart the need for TDD and understand TDD practices
The test cases are well written and clean but my only concern is the comments. The code has no comments even after mentioning in the meeting.</t>
    </r>
  </si>
  <si>
    <t>project3</t>
  </si>
  <si>
    <t>If you used snippets from Github instead of typing the code into Mediawiki textboxes, you could more clearly show what has been changed.  That is not clear from the code you provided.
Tests could have been described more completely, e.g., Why is this test necessary? What does it test? How does it test it?
In general, most of the document is just a listing of code.  Saying more about why you made the changes you did would have been helpful.
They have uploaded a video that shows testing on their development environment and that cleary shows their contribution</t>
  </si>
  <si>
    <t>E1948</t>
  </si>
  <si>
    <t>Refactor review_mapping_helper.rb</t>
  </si>
  <si>
    <t>rrpatil3
  (Patil, Rohan Rajesh)
 agovil
  (Govil, Aditya)
 asyal
  (Syal, Arshdeep Singh)</t>
  </si>
  <si>
    <r>
      <rPr>
        <rFont val="Calibri, sans-serif"/>
        <color rgb="FF000000"/>
        <sz val="11.0"/>
      </rPr>
      <t xml:space="preserve">http://wiki.expertiza.ncsu.edu/index.php/CSC/ECE_517_Fall_2019_-_E1948._Refactor_review_mapping_helper.rb
 </t>
    </r>
    <r>
      <rPr>
        <rFont val="Calibri, sans-serif"/>
        <color rgb="FF1155CC"/>
        <sz val="11.0"/>
        <u/>
      </rPr>
      <t>https://github.com/expertiza/expertiza/pull/1526</t>
    </r>
    <r>
      <rPr>
        <rFont val="Calibri, sans-serif"/>
        <color rgb="FF000000"/>
        <sz val="11.0"/>
      </rPr>
      <t xml:space="preserve">
 https://bit.ly/2NiWlgI
 https://github.com/ArshdeepSinghSyal/expertiza/tree/beta</t>
    </r>
  </si>
  <si>
    <t>Need to write test cases for the methods newly created before we can merge it. Logic seems to be good but it will be better if all the new methods is tested before we merge it.</t>
  </si>
  <si>
    <r>
      <rPr>
        <b/>
      </rPr>
      <t xml:space="preserve">Pros:
</t>
    </r>
    <r>
      <rPr/>
      <t xml:space="preserve">1) Good refactoring of code
2) Added comments in existing code which makes it easier to understand the code.
3) Resolved code climate issue – completed their task
4) Created methods doing only 1 functionality – good
</t>
    </r>
    <r>
      <rPr>
        <b/>
      </rPr>
      <t>Cons</t>
    </r>
    <r>
      <rPr/>
      <t xml:space="preserve">:
1) Asked the team to create test cases for all the new method created. I can’t see those.
2) Even though overall method is tested by the original test cases, it is always mandatory to write test cases for the new methods as well.
</t>
    </r>
    <r>
      <rPr>
        <b/>
      </rPr>
      <t>Reviews</t>
    </r>
    <r>
      <rPr/>
      <t xml:space="preserve">:
1) Appropriate variable and method name except naming convention not followed in naming variable teamID. It should be team_id
2) Few existing methods name are too long, this could have been changed by the team if they were working on that file - get_each_review_and_feedback_response_map, get_css_style_for_calibration_report
3) Test coverage decreased because they created new methods without writing test cases for them
</t>
    </r>
    <r>
      <rPr>
        <b/>
      </rPr>
      <t>Video</t>
    </r>
    <r>
      <rPr/>
      <t xml:space="preserve">:
1)Video showed the result of code climate which passed all the earlier failed test cases.
2) They could have showed working of the project as well in the video.
</t>
    </r>
    <r>
      <rPr>
        <b/>
      </rPr>
      <t xml:space="preserve">Tests:
</t>
    </r>
    <r>
      <rPr/>
      <t>1) No new test cases written. 
2) Team should have written test cases for the new methods created</t>
    </r>
  </si>
  <si>
    <t>Team_7861</t>
  </si>
  <si>
    <t>1) Document is detailed. Could have explained why they made the changes they did.  Comments such as "# Setting values of instance variables" and "# Iterating though the list" would be pretty obvious to the reader.  For example, what is in the list, and WHY do we need to iterate through the list?
2) Explained properly what changes they made.
3) Added screenshot and code of what they did and how it was before
4) They could have removed few GIT screenshots. Not required here
5)It is good that you added comments.  But comments like, "# Iterating though the list" just tell how the code is structured, and do not say what the loop is doing.  The reader needs to understand what the loop is doing, and this comment does not help.
6) Likewise, for the comment, " # loops through the number of assignment review rounds and obains the team colour", the reader would like to know WHY it is important to get the "team color."
7) The get_team_color method uses American spelling for some names and British spelling for others.  American spelling should be used throughout.</t>
  </si>
  <si>
    <t>E1947</t>
  </si>
  <si>
    <t>Refactor quiz_questionnaire_controller.rb</t>
  </si>
  <si>
    <t>asaxena5
  (Saxena, Akshay)
 sjrathi
  (Rathi, Shalin Jayesh)
 dmendez
  (Mendez Lozada, Daniel)</t>
  </si>
  <si>
    <t>http://wiki.expertiza.ncsu.edu/index.php/CSC/ECE_517_Fall_2019_-_Project_E1947._Refactor_quiz_questionnaire_controller.rb
 https://github.com/shalinshal/expertiza
 https://github.com/expertiza/expertiza/pull/1531
 https://youtu.be/dVu0-LZcW1w
 http://152.46.19.3:8080/</t>
  </si>
  <si>
    <t>I would want to run the project before merging. Everything else looks good.</t>
  </si>
  <si>
    <t>Completed all assigned tasks mentioned in the project description. 
Youtube video shows quiz creation and edit. However, the deployment link cannot be accessed.
Refactored the methods correctly. 
Naming convention is justified.
Travis checks have passed. 
Test Cases have been modified. However, no new tests have been added for new methods.</t>
  </si>
  <si>
    <t>Team_7043</t>
  </si>
  <si>
    <t>The structure of the document is good; it is easy to see what has been changed.
It is clearer to paste in code snippets from Github than to use the wiki textbox for it, because the font is more readable and long lines are wrapped.
In the first code improvement, it appears that you moved some code out of save_choices.  Where did it go?  BTW, comments are needed on/about the method.
In general, more comments are needed to explain what each method is doing.
The test plan does not say anything about automated tests.</t>
  </si>
  <si>
    <t>E1946</t>
  </si>
  <si>
    <t>bbhardw
  (Bhardwaj, Bharat)
 ptiwari
  (Tiwari, Piyush)
 ggarima
  (Garima, Garima)</t>
  </si>
  <si>
    <t>https://github.com/expertiza/expertiza/pull/1571
 https://github.com/piyushtiw/expertiza/pull/14
 http://152.7.98.234:8080/
 http://wiki.expertiza.ncsu.edu/index.php/CSC/ECE_517_Fall_2019_-_E1946._Refactor_Questionnaire_controller
 NameSizeTypeDate Modified
 - 
 Screen_Shot_2019_10_28_at_7.59.06_PM.png
 1099575
 file
 2019-10-28 19:59:35 -0400</t>
  </si>
  <si>
    <t>Code is neater than before, although problems still remain.  A concern is removing all of the expectations that might fail from one test.  I wouldn't merge it until that issue is resolved; after that it would probably be OK to merge.</t>
  </si>
  <si>
    <r>
      <rPr/>
      <t xml:space="preserve">In general, this project made most of the changes that were requested.  But several issues still remain.
</t>
    </r>
    <r>
      <rPr>
        <b/>
      </rPr>
      <t>Code</t>
    </r>
    <r>
      <rPr/>
      <t xml:space="preserve">
• questionnaires_controller, line 172: “question.weight = QUESTION_MAX_SCORE” is just as wrong as the former code, that set the weight to 1.  The weight needs to be set to whatever is filled in on the page where the rubric is created.  Ditto for min_label and max_label.  I don’t see where you actually use the values that are filled in on the form when the rubric is created.
• The same problem comes up at lines 300-308 where the question_size function returns the default values for field sizes, not the actual values for the current question!
• This problem is repeated in quiz_questionnaire_controller.rb
• create_new_questionnaire_obj apparently sets several fields in questionnaires, among which are the min and max score, but not the weight or size.  This seems like an omission.  Also, this is a very nonstandard method name; why isn’t this done in an initialize method?
</t>
    </r>
    <r>
      <rPr>
        <b/>
      </rPr>
      <t xml:space="preserve">Tests
</t>
    </r>
    <r>
      <rPr/>
      <t>• Changes to the tests remove several expectations from questionnaires_controller_spec.rb without any explanation. The only expectation left is “expect(flash[:note]).to be nil”!  Definitely a bad change.
• One reviewer says the code crashed for some questionnaires, and another notes that no new tests were written.</t>
    </r>
  </si>
  <si>
    <t>Team_6392</t>
  </si>
  <si>
    <t>Good try at describing rationale for changes.  Some of the descriptions could be more helpful, e.g., the one on refactoring the create method, which just said that it had been broken into two parts, not explaining how.  Actually it seems to have been divided into three methods.  The descriptions of removing unnecessary variables and unnecessary parameters are better.
The document would have been more readable if the section numbers (e.g., 6.1 Refactor Create Method) had appeared in the headers to the sections, rather than just in the ToC.
The test plan does not explain why expectations were removed from tests.</t>
  </si>
  <si>
    <t>E1945</t>
  </si>
  <si>
    <t>bjfisher
  (Fisher, Ben)
 sgpai2
  (Pai, Sanket Gopalkrishna)
 dbardha
  (Bardhan, Deepayan)</t>
  </si>
  <si>
    <r>
      <rPr>
        <rFont val="Calibri, sans-serif"/>
        <color rgb="FF1155CC"/>
        <sz val="11.0"/>
        <u/>
      </rPr>
      <t>http://wiki.expertiza.ncsu.edu/index.php/CSC/ECE_517_Fall_2019_-_E1945._Refactor_users_controller.rb</t>
    </r>
    <r>
      <rPr>
        <rFont val="Calibri, sans-serif"/>
        <color rgb="FF000000"/>
        <sz val="11.0"/>
      </rPr>
      <t xml:space="preserve">
 https://github.com/expertiza/expertiza/pull/1541</t>
    </r>
  </si>
  <si>
    <r>
      <rPr>
        <b/>
      </rPr>
      <t xml:space="preserve">Code:
</t>
    </r>
    <r>
      <rPr/>
      <t xml:space="preserve">1) The code is well written and clean
2) Missed a few comments especially in the exctracted code
3) All requirements have been met
4) Few UI changes have been incorporated
</t>
    </r>
    <r>
      <rPr>
        <b/>
      </rPr>
      <t xml:space="preserve">Test: </t>
    </r>
    <r>
      <rPr/>
      <t>The newly extracted model "account_request_controller.rb" has a supporting rspec</t>
    </r>
  </si>
  <si>
    <t>Team_3048</t>
  </si>
  <si>
    <t>There were minor inaccuracies on the wiki page, which I have corrected (e.g., instructors may (not "must") be created by requesting an account, the way to list users is to invoke Manage &gt; Users).
The UI allows only instructor accounts to be requested.  Administrator accounts should also be requestable from this screen.  If there is only one role, then why does the foreign method need to get a list of available roles?
It would be good to explain the other code changes by pasting in snippets of those too.
They have clearly stated their contribution in the doc
They have uploaded a video that shows testing on their deployment</t>
  </si>
  <si>
    <t>E1944</t>
  </si>
  <si>
    <t>ysoodin
  (Soodini, Yashwanth Reddy)
 vkarri
  (Karri, Vivek Reddy)
 svshingt
  (Shingte, Saurabh Vinod)</t>
  </si>
  <si>
    <t>https://github.com/expertiza/expertiza/pull/1538
 https://aqueous-garden-47353.herokuapp.com/
 http://wiki.expertiza.ncsu.edu/index.php/CSC/ECE_517_Fall_2019_-_E1944._Refactor_review_mapping_controller</t>
  </si>
  <si>
    <t>Thorough testing would be needed before it could be merged, since the most common way of assigning reviews is not tested automatically.
94; could be raised to 98 if automatic assignment of reviewers works.  The team has added comments upon request. Can we raise the score to 95? The team has not shown the required test.</t>
  </si>
  <si>
    <r>
      <rPr>
        <b/>
      </rPr>
      <t xml:space="preserve">Code:
</t>
    </r>
    <r>
      <rPr/>
      <t xml:space="preserve">1) Naming conventions have been changed as discussed and described in the project doc.
2) Extracted a method "make_review_strategy" (from automatic_review_mapping_strategy) that returns a review_strategy based on the values of num_reviews_per_submission and num_reviews_per_submission
3) New controller "ReviewResponseMapController" introduced for "add_calibration" - a method that changes the attribute of a ReviewResponseMap
4) Extracted the "assign_quiz_dynamically" into a new model as this is not part of review mapping
5) Code has no comments even after stating in the meetings
6) The project changes were discussed in meetings and some changes that have not been part of the description was proposed by the team and really appreciate that effort and interest.
</t>
    </r>
    <r>
      <rPr>
        <b/>
      </rPr>
      <t xml:space="preserve">Test:
</t>
    </r>
    <r>
      <rPr/>
      <t>1) Tests have been run to check for regression and has passed
2) A new rspec called "spec/controllers/assign_quiz_controller_spec.rb" has been added for the new model "app/controllers/assign_quiz_controller.rb"
3) A new rspec called "spec/controllers/review_response_map_controller_spec.rb" has been added for "ReviewResponseMapController"
4) In the video, the INSTRUCTOR is shown assigning reviewers, and then the reviewers complete the reviews.  However, in most assignments, reviews are assigned dynamically when the student comes in to do a review.  This code was not tested at all.
5) No comments in any tests</t>
    </r>
  </si>
  <si>
    <t>Team_1638</t>
  </si>
  <si>
    <t>1. The "Files created/modified" list should be described in conjunction with the changes made.  As it is, one has to flip back and forth to see what changes were made.
2. The changes that were made are described apart from the code that makes them.  This would requre more looking back and forth to understand what was done.
3. Mentor had asked the team to remove code snippets that have been extensively used all over the document.  If the snippets were shorter, with descriptions of each step, they wouldn've been easier to understand.
4. A list of 17 changes is much too long to be comprehended.  More organization is needed.  The changes should be associated with particular issues, or divided into a few types.
5. The team has given test results and code coverage screenshots and have provided a video to test the feature in expertiza deployment and regression testing.</t>
  </si>
  <si>
    <t>E1943</t>
  </si>
  <si>
    <t>schawan
  (Chawande, Saahil Anil)
 rbharam
  (Bharambe, Rajit Nitin)
 skmatta
  (Matta, Sravan Kumar)</t>
  </si>
  <si>
    <r>
      <rPr>
        <rFont val="Calibri, sans-serif"/>
        <color rgb="FF1155CC"/>
        <sz val="11.0"/>
        <u/>
      </rPr>
      <t>https://github.com/expertiza/expertiza/pull/1535</t>
    </r>
    <r>
      <rPr>
        <rFont val="Calibri, sans-serif"/>
        <color rgb="FF000000"/>
        <sz val="11.0"/>
      </rPr>
      <t xml:space="preserve">
 http://wiki.expertiza.csc.ncsu.edu/index.php/CSC/ECE_517_Fall_2019_-_Project_E1943._Refactor_sign_up_sheet_controller.rb
 https://www.youtube.com/watch?v=WIi_c62iSTw</t>
    </r>
  </si>
  <si>
    <t>Looks good, but I am not convinced it has been thoroughly tested.  Still, I would be delighted to merge it if we have time to test manually.</t>
  </si>
  <si>
    <t>Code:
1) The sign_up_sheet controller has been renamed to signup_sheet controller but this has caused for almost 50 files to be changed. I have asked the team to do regression tests and they have all passed.  However, in line 236 of signup_sheet_controller.rb, it is still spelled SignUpSheet; why does this not cause an error?
2) Naming conventions are well refactored
3) All the issues have been addressed
4) Good supporting comments for the fixes provided.
5) PR also has - vendor/plugins/verification/.rakeTasks and vendor/plugins/verification/Gemfile.lock, must be careful while merging</t>
  </si>
  <si>
    <t>Team RSS</t>
  </si>
  <si>
    <t>There are not enough comments describing changes to the code.  Simply providing before and after snippets is not enough.  For example, "Fixed the if-else ladder in signup_as_instructor_action action" does not describe what was wrong, and how the fix was structured.  The document would thus not be very helpful in understanding the code.
There is a youtube video provided for testing that shows that the code has not been regressed
Appreciate the results/conclusion section in the doc which describes how their code change impact and what they bring to the table
It would be much clearer to cut and paste code snippets from Github rather than to use the formatting available in the wiki.</t>
  </si>
  <si>
    <t>E1942</t>
  </si>
  <si>
    <t>onkashid
  (Kashid, Omkar Nivrutti)
 drao
  (Rao, Deeksha Ramachandra)
 sdinaka
  (Dinakaran, Swathi)</t>
  </si>
  <si>
    <t>http://152.46.19.152:8080/
 http://wiki.expertiza.ncsu.edu/index.php/CSC/ECE_517_Fall_2019_-_E1942._Refactor_stage_deadlines_in_assignment.rb
 https://github.com/expertiza/expertiza/pull/1548</t>
  </si>
  <si>
    <t>Was to be 96, if they answered questions in OSS comments satisfactorily,  Response from team on 11/22:  
Sorry for the late reply. Following answers can resolve your queries : 
1. The previous project changed the test cases for stage_deadline. However, we did not refactor that part of the code as the TRAVIS CI was failing. We were supposed to remove the test cases but we commented it instead. We apologize for it.
2. In the previous meeting, we had discussed that refactoring a simple function name was the reason TRAVIS CI was failing so we had decided to refactor the function name to something which is definitely not present in the entire project and hence we renamed it to one of our team mates (Swathi). We forgot to revert the commit. Also the return type was hardcoded in the forked repository itself.
So, no, it should not be merged.</t>
  </si>
  <si>
    <r>
      <rPr/>
      <t xml:space="preserve">"For the most part, this looks like clean code, a minor improvement from the previous project.  The build does pass, which is important, but I am uneasy about the tests that have apparently been removed to allow it to do so (see below).
</t>
    </r>
    <r>
      <rPr>
        <b/>
      </rPr>
      <t>Code</t>
    </r>
    <r>
      <rPr/>
      <t xml:space="preserve">
• You didn’t write the following code, but you changed it, and I’m suspicious that it doesn’t test the right thing: “AssignmentQuestionnaire.where(assignment_id: self.id, used_in_round: 2).size &gt;= 1”  Suppose the same rubric is used in Rounds 1 and 2, but a different rubric in Round 3.  Will this test still succeed?
• assignment_spec.rb, Lines 368 &amp; 369: Code is commented out, rather than removed.  Should be removed.  Ditto for Lines 415 &amp; 416, and 422 &amp; 423 and 436 to 450.  These are the tests for stage_deadline, as described in the previous project E1906 documentation. Why were these tests removed?  If they didn’t pass because of code changes, they should have been rewritten.
Please explain, ""allow(assignment).to receive(:swathi).with(123).and_return('Finished')"".  Why is the name hardcoded?"</t>
    </r>
  </si>
  <si>
    <t>Team_574</t>
  </si>
  <si>
    <t>Very clear description of code changes, significant improvement from last spring's version.  However, the description of the tests is wanting,  What they do is not described in prose; the reader has to read the code to find out.</t>
  </si>
  <si>
    <t>E1941</t>
  </si>
  <si>
    <t>Issues related to topic deadlines</t>
  </si>
  <si>
    <t>ssrane2
  (Rane, Sanveg Sudhir)
 smhatre
  (Mhatre, Saurabh Anant)
 magavade
  (Gavade, Mita Anil)</t>
  </si>
  <si>
    <r>
      <rPr>
        <rFont val="Calibri, sans-serif"/>
        <color rgb="FF000000"/>
        <sz val="11.0"/>
      </rPr>
      <t xml:space="preserve">http://wiki.expertiza.ncsu.edu/index.php/CSC/ECE_517_Fall_2019_-_E1941._Issues_related_to_topic_deadlines
 http://152.46.19.67:8080
 </t>
    </r>
    <r>
      <rPr>
        <rFont val="Calibri, sans-serif"/>
        <color rgb="FF1155CC"/>
        <sz val="11.0"/>
        <u/>
      </rPr>
      <t>https://github.com/expertiza/expertiza/pull/1560</t>
    </r>
  </si>
  <si>
    <t>Everything passed, but it is not clear that any tests were written for the new functionality in the project.  So it needs to be thoroughly tested before merging.</t>
  </si>
  <si>
    <r>
      <rPr>
        <b/>
      </rPr>
      <t xml:space="preserve">Code
</t>
    </r>
    <r>
      <rPr/>
      <t>• The comments in self.get_deadline_to_drop_topic are inadequate; they do not explain why it is necessary to check whether the drop-topic deadline is before the “topic submission due date” (which must mean the FIRST submission deadline for that topic).  The logic needs to be explained much better!
• Changes to topic_due_date.rb look reasonable.  But asgnmt —&gt; assgt (standard abbreviation for “assignment”)
• It is not clear how the tests test the functionality added in this project.</t>
    </r>
  </si>
  <si>
    <t>Team101
 Assign Grade</t>
  </si>
  <si>
    <t>Generally good descriptions of how and why code changes were made.  However, the UI for drop-topic deadlines is shown only for staggered-deadline assignments.  Does the blank appear on the Due Dates tab for regular (not staggered-deadline) assignments?
It's not clear from the description whether there are multiple jobs for dropping different topics, or if a single job completes the process.  A single job is better, of course.
It would be much clearer to cut and paste code snippets from Github rather than to use the formatting available in the wiki.
Testing does not seem extensive enough.</t>
  </si>
  <si>
    <t>E1940</t>
  </si>
  <si>
    <t>Improve e-mail notifications</t>
  </si>
  <si>
    <t>drmakam (Makam, Dheeraj Ramesh)
atrived (Trivedi, Adarsh)
psheora (Sheoran, Prachi)</t>
  </si>
  <si>
    <t xml:space="preserve">http://wiki.expertiza.ncsu.edu/index.php/CSC/ECE_517_Fall_2019_-_E1940._Improving_email_notification
http://152.46.16.219:8080/
https://github.com/expertiza/expertiza/pull/1604
</t>
  </si>
  <si>
    <t>No. Since the changes are not tested, it would be premature to merge the project.</t>
  </si>
  <si>
    <r>
      <rPr>
        <b/>
      </rPr>
      <t>Code</t>
    </r>
    <r>
      <rPr/>
      <t xml:space="preserve">
• In submit_hyperlink, the code for getting current date and time is rather long, and would better be handled by putting it in a separate method.  Also, I think there is another method for finding the last due date; did you check?
• submitted_content_controller is not a reasonable place to have code that checks whether work has been reviewed; response.rb would be a more logical place for this.  If it’s put in submitted_content_controller, it is likely to lead to a DRY problem.
• The comment, “# Checking if the instance returned by the previous method is of User or not” is confusing. Evidently it is to check whether the user was successfully created. The comment should explain that.
• I didn’t see any test code to check whether Issue #717 is resolved.
</t>
    </r>
    <r>
      <rPr>
        <b/>
      </rPr>
      <t xml:space="preserve">Tests
</t>
    </r>
    <r>
      <rPr/>
      <t>• It is not clear that the new tests address any of the 3 issues that needed to be fixed.  Specifically, how do the tests establish that the system will email the reviewers to revise their review, except in the final round.
• I’m not concerned about test coverage falling; it often does for unknown reasons in projects of this sort.</t>
    </r>
  </si>
  <si>
    <t>Team_460</t>
  </si>
  <si>
    <t xml:space="preserve">This document is mostly just a copy of the code that was written and a list tof steps for manual testing.  As several reviewers pointed out, it doesn't explain why the code was written the way it was.  The steps for manual testing do not explain why things are done in that way, or how they verify that the three issues have been resolved. </t>
  </si>
  <si>
    <t>E1939</t>
  </si>
  <si>
    <t>OSS Project Juniper: Bookmark enhancements</t>
  </si>
  <si>
    <t>srachak (Rachakonda, Srujana)
tmpandi2 (Pandit, Tanvi Milind)
akariya (Kariya, Abhirav Dilip)</t>
  </si>
  <si>
    <t xml:space="preserve">http://152.46.19.205:8080
http://wiki.expertiza.ncsu.edu/index.php/CSC/ECE_517_Fall_2019_-_E1939._OSS_Project_Juniper:_Bookmark_enhancements
https://github.com/expertiza/expertiza/pull/1540
</t>
  </si>
  <si>
    <t>Not in its current form; code is too messy.  But, a lot of the functionality works, and would be a good basis for another project.</t>
  </si>
  <si>
    <t>"Design
• I think new_bookmark_review may not be an appropriate method for the bookmarks_controller class; shouldn't this be created by the response_controller?
• Ditto for the code in bookmark_rating.rb that calculates an average score: seems to duplicate on_the_fly_calc.rb. 
• Also, there is a magic constant 5.0; what is that? Does it ASSUME that the scale is 1 to 5? This is controlled by min_question_score and max_question_score for the questionnaire, and these variables should be used.
• In questionaires.rb, there is a literal ""Bookmark RatingQuestionnaire"" in addition to ""BookmarkRatingQuestionnaire""; there should be only one such rubric..
• According to the code, a teammate of the person who uploaded a bookmark could rate it; is this right?
• bookmarks/list.html.erb is pretty long; it would be better to use one or more partials. Magic constants 0 and 5!
Rough edges
• Bookmarks can be added, and can be viewed by the team whose topic they relate to. But the team has no way of knowing, without clicking on the ""View bookmarks"" icon, that any bookmarks exist for their topic. A UI change is needed here, even though the project spec did not say to change the UI.On the screen for rating bookmarks, there needs to be more horizontal space between ""Edit"" and ""Delete"".
Missing functionality
• The table of bookmarks has an ""Avg. rating"" and a ""Your rating"" column. Only ""Avg. rating"" is populated; ""Your rating"" is blank, at least for the bookmark that I created and rated.
Apparent bugs
• The ""Back"" link from bookmark listing ""OSS project and documentation"" takes me to the signup sheet for Wikipedia contribution … though the assignment number (827) in the URL is for the ""OSS project and documentation"" assignment. The id=30777, and that evidently takes precedence over the assignment number.
• When using a dropdown to rate bookmarks, I still need to specify a bookrmark-rating rubric, or otherwise the assignment cannot be saved. And when I rate a bookmark, I get this rubric, not the dropdown."</t>
  </si>
  <si>
    <t xml:space="preserve">	
Team_6492</t>
  </si>
  <si>
    <t>My biggest concern is that the code changes are shown, but not explained.  It would be easier to read them from the pull request than from the documentation.
Better to use the Github diff view to show code rather than the monochrome box provided by MediaWiki.  Video is useful, but should contain audio; too hard to follow it without audio.
The test plan is incomplete; it says there are a lot of new tests, but does not say what they test.</t>
  </si>
  <si>
    <t>E1938</t>
  </si>
  <si>
    <t>psdravid (Dravid, Pushkar Suneel)
nmchoks2 (Chokshi, Nisarg Mayank)
ajain37 (Jain, Ayush)</t>
  </si>
  <si>
    <r>
      <rPr/>
      <t>http://152.46.19.138:8080/
http://wiki.expertiza.ncsu.edu/index.php/CSC/ECE_517_Fall_2019_-_E1938._OSS_project_Duke_Blue:_Fix_import_glitches
ht</t>
    </r>
    <r>
      <rPr>
        <color rgb="FF1155CC"/>
        <u/>
      </rPr>
      <t>tps://github.com/expertiza/expertiza/pull/1557</t>
    </r>
  </si>
  <si>
    <t xml:space="preserve"> No</t>
  </si>
  <si>
    <t>Yes, a former merge was reverted; try again to merge</t>
  </si>
  <si>
    <r>
      <rPr>
        <b/>
      </rPr>
      <t>Code:</t>
    </r>
    <r>
      <rPr/>
      <t xml:space="preserve">
1) The code is well written and clean
2) Naming conventions are followed
3) All the issues - 918, 153, 328 and 329 are fixed
4) Not enough comments. I could only see 2 comments. It would be very useful to put comments and also state the issue number to track the code changes
</t>
    </r>
    <r>
      <rPr>
        <b/>
      </rPr>
      <t>Test:</t>
    </r>
    <r>
      <rPr/>
      <t xml:space="preserve">
1) The team has put good efforts in writing new test cases and also modifying the existing ones.
2) spec/models/team_spec.rb has been modified to test for duplicate team names but not enough supporting comments
3) Issues 918 and 153, 2 new rspec files have been added to test the fixes - spec/helpers/import_topics_helper_spec.rb and spec/models/sign_up_topic_spec.rb. But again not enough comments. </t>
    </r>
  </si>
  <si>
    <t>TeamRocket</t>
  </si>
  <si>
    <t>The wiki doc is concise and well written.
1) The doc is structured with problem statement, issues and fix description, test plan and also enhancements
2) Most of the descriptions of code changes are quite readable.
3) Some of the code changes were hard to envision without screenshots (e.g., Issue 153), and no screenshots were provided.
4) The code sequence in sign_up_topic.rb needed more comments and/or explanation.  It is very hard to read at present.
5) The distinction between the two methods in import_topics_helper.rb is not at all clear.
6) The code sequnce in import_file_controller lacks context.  It is not understandable given the brief description.
7) The RSpec tests could have been described in more detail.  Exactly what scenarios do they test?  (especially true of Issue 153)
8) Appreciate the enhancements section which describes improvements for import functionality using DRY principles and also non-ascii character problem exists with topic name and topic identifier as well
It would be much clearer to cut and paste code snippets from Github rather than to use the formatting available in the wiki.</t>
  </si>
  <si>
    <t>2019 Spring Final</t>
  </si>
  <si>
    <t>E1937</t>
  </si>
  <si>
    <t>jfwang2 bnmwanik pjain22 sbasnet2</t>
  </si>
  <si>
    <t>http://wiki.expertiza.ncsu.edu/index.php/CSC/ECE_517_Spring_2019_-_Project_E1937._Integrate_suggestion_detection_algorithm.rb
https://github.com/expertiza/expertiza/pull/1427
https://www.youtube.com/watch?v=FjHAODvHtk4</t>
  </si>
  <si>
    <t>Finish and merge Carl Colglazier's (Fall 2019) version</t>
  </si>
  <si>
    <t>We like your functionality and your views, but are concerned about the changes to response_controller.  Moving methods around will make it look to Github like you wrote all the code in this class, and will it much harder to figure out when specific lines were written.  Could you revert the code to its original order, and then re-make your changes?  Also name create_response and update_response with names that relate more to their functionality.  Collapse out more blank lines so more code fits on a screen at one time.  (90 --&gt; 95 for changes made after demo)</t>
  </si>
  <si>
    <t>I think this design doc would have been more effective if you described more of the code.  You did say what was done in Lines 359 and 360 of the response_controller, but you didn't explain any of the other changes.  This is important for giving programmers who follow you an idea of why the code is structured as it is.</t>
  </si>
  <si>
    <t>E1936</t>
  </si>
  <si>
    <t>attiffan jehutch3 ngtitov gabalmat</t>
  </si>
  <si>
    <r>
      <rPr>
        <rFont val="Arial"/>
        <color rgb="FF1155CC"/>
        <sz val="10.0"/>
        <u/>
      </rPr>
      <t>http://wiki.expertiza.ncsu.edu/index.php/E1936_Specialized_Rubrics</t>
    </r>
    <r>
      <rPr>
        <rFont val="Arial"/>
        <color rgb="FF000000"/>
        <sz val="10.0"/>
      </rPr>
      <t xml:space="preserve">
https://github.com/gabalmat/expertiza/tree/beta
https://github.com/expertiza/expertiza/pull/1444
https://www.youtube.com/watch?v=F7nQsIUspQM
</t>
    </r>
  </si>
  <si>
    <t>We think you did a really good job. We will definitely merge your pull request.
Some comments about testing:
- There are some duplications in your tests. You could put these code in before(:each) block;
- Using `create` in unit tests or integration tests may be overkill. You could use `build` or `double` keywords instead.</t>
  </si>
  <si>
    <t>This is an excellent design doc, especially in the way that it explains the rationale for change and why some design options were chosen over others.  The problem/solution format to the Implementation section and the Q&amp;A are practically unique for this project, and they are very helpful.  I still have some suggestions: The Selected Modified Code section could have used a larger font and had more comments about what the code was doing.  I also find the Github diff display more readable, like your screenshot of adding topic_id to AssignmentsQuestionnaires.</t>
  </si>
  <si>
    <t>E1935</t>
  </si>
  <si>
    <t>Redo</t>
  </si>
  <si>
    <t>x</t>
  </si>
  <si>
    <t>E1934</t>
  </si>
  <si>
    <t>hbbadiya mkushal spadala agodava</t>
  </si>
  <si>
    <r>
      <rPr>
        <rFont val="Arial"/>
        <color rgb="FF000000"/>
        <sz val="10.0"/>
      </rPr>
      <t xml:space="preserve">http://wiki.expertiza.ncsu.edu/index.php/E1934_-_Grading_Audit_Trail
https://github.com/expertiza/expertiza/pull/1441
</t>
    </r>
    <r>
      <rPr>
        <rFont val="Arial"/>
        <color rgb="FF1155CC"/>
        <sz val="10.0"/>
        <u/>
      </rPr>
      <t>https://youtu.be/yyxX_kRYxLc</t>
    </r>
  </si>
  <si>
    <t>Needs some refactoring; then can be merged.</t>
  </si>
  <si>
    <t>Yes, it is a useful functionality to have. However, issue #1363 needs to be fixed before this project gets merged as a feature test that was implemented by this team depends on that. There are also a few minor issues that need to be fixed: 1. For review grades, the “Grading History” link must not be in a separate column. It should be in smaller text below the in the “Save” button. 2. In the view grading record page, remove the receiver column and add it to the title 3. Restrict the column width on the grading record page 4. Add comments on list_submissions.html.erb to indicate that the alignment was changed to fix code climate issues 5. Ensure that white space changes are separate commits 6. Revert changes made to list_review_mapping.html.erb 7. Remove the review_report-html.erb file 8. Design doc – mention why each of those files were changed</t>
  </si>
  <si>
    <t>The design document is supposed to give a rationale for the design, but this design doc is mainly screenshots and a list of files that were changed.  The screenshots could be described (e.g., why did you add a column to View Submissions) and you could have shown, or linked to, code snippets and described what the snippets were doing.</t>
  </si>
  <si>
    <t>E1933</t>
  </si>
  <si>
    <t>gshugh jwarren3 cladkins rdemarc</t>
  </si>
  <si>
    <r>
      <rPr>
        <rFont val="Arial"/>
        <color rgb="FF000000"/>
        <sz val="10.0"/>
      </rPr>
      <t>http://wiki.expertiza.ncsu.edu/index.php/CSC/ECE_517_Spring_2019/E1933_Allow_reviewer_to_say_review_can_be_shown_to_class_as_an_example
https://youtu.be/Q1UczIJMmcE
ht</t>
    </r>
    <r>
      <rPr>
        <rFont val="Arial"/>
        <color rgb="FF1155CC"/>
        <sz val="10.0"/>
        <u/>
      </rPr>
      <t>tps://github.com/expertiza/expertiza/pull/1464</t>
    </r>
  </si>
  <si>
    <t xml:space="preserve">Redo
</t>
  </si>
  <si>
    <t>“… may no longer be shown …” is ambiguous --&gt;[They agree to change to "will no longer".]  
--&gt;And they will remove the link to show a review as a sample if the student hasn't authorized it. 
Student can see a review, but what about viewing the reviewed assgt.?
 They use their own view for reviews, instead of the one that a student would see for their own reviews. Code for showing sample reviews is put in action_allowed, which is screwy. It should be in a separate method, but should it even be called from action_allowed? 
Also, wording of prompts &amp; confirmations needs to be changed.</t>
  </si>
  <si>
    <t>For design doc: This is a very good description of the changes to be made, and the rationale for making them.  But it has not been updated to reflect how the code was actually written, and that is one of the most important needs for programmers who follow on later.This is a very good description of the changes to be made, and the rationale for making them.  But it has not been updated to reflect how the code was actually written, and that is one of the most important needs for programmers who follow on later.</t>
  </si>
  <si>
    <t>E1932</t>
  </si>
  <si>
    <t>swang28 ychen239 zwu17 hlu6</t>
  </si>
  <si>
    <t>http://wiki.expertiza.ncsu.edu/index.php/E1932_Expertiza_Internationalization_-_Spring_2019
https://docs.google.com/presentation/d/17FUuxSlqE-NVTX-WWlReEjdEQaVbauhGF2fk4xEeRHY/edit?usp=sharing</t>
  </si>
  <si>
    <t>Could not merge as the PR was from their Master to Expertiza/Beta</t>
  </si>
  <si>
    <t>Yes, but Not Yet</t>
  </si>
  <si>
    <t>We think you did a really good job! We will definitely merge your pull request.
If you could put the language switch dropdown into profile page, we could increase your point to 97 or 98.</t>
  </si>
  <si>
    <t>For design doc: This is a very good description of the changes to be made, and the rationale for making them.  But it has not been updated to reflect how the code was actually written, and that is one of the most important needs for programmers who follow on later.</t>
  </si>
  <si>
    <t>E1931</t>
  </si>
  <si>
    <t>rpalusz vkhanna rdmarshb asmille5</t>
  </si>
  <si>
    <t>http://wiki.expertiza.ncsu.edu/index.php/CSC/ECE_517_Spring_2019_-_Project_E1931._Conflict_notification
https://github.com/expertiza/expertiza/pull/1445
http://152.46.19.28:8080/
https://cl.ly/9734bfeb1f0c</t>
  </si>
  <si>
    <t>The “score %” heading appears in each cell. This is redundant. Also, the bars are much too narrow. No way does the cell need to be so large. The conflicting review is highlighted in yellow. They say that it looks more reasonable if there are lots of reviewers. But only my assignments would have that many reviewers. I am confused about review_report_response_map. It is not a ResponseMap, so why is it called that? The design doc just displays the code, without explaining how it works. Ditto for the section on tests; it doesn't say what is being tested, unless you want to read the code.
Tests need to be refactored.
- The UI of conflict report should be redesigned.
- They included debug code in their pull request (https://github.com/expertiza/expertiza/pull/1445/files#diff-25b6f0216b85f3d365758520e9a93664R42).
- They include many logic in views (https://github.com/expertiza/expertiza/pull/1445/files#diff-7adec512db194a439744ab4d2d8d10eaR5)
- Using `create` in unit tests or integration tests may be overkill. Try to use `build` or `double` instead.
- Shallow tests: one or more of their test expectations only focus on the return value not being `nil`, `empty` or not equal to `0` without testing the `real` value.
To avoid `shallow tests` -- tests concentrating on irrelevant, unlikely-to-fail conditions -- please write expectations to test the `real` value. (https://github.com/expertiza/expertiza/pull/1445/files#diff-a68a7982922073b9602c0fd6097e0bd2R131)</t>
  </si>
  <si>
    <t>It is good to show the code, but I would have preferred a full-color report from Github's diff function, like you did with Feature 2, No hardcoded URLs.  You could also have described the changes with more than a one-line bullet point.</t>
  </si>
  <si>
    <t>E1930</t>
  </si>
  <si>
    <t>bbdeshpa rkaur uschatto aarya</t>
  </si>
  <si>
    <t>http://wiki.expertiza.ncsu.edu/index.php/CSC/ECE_517_Spring_2019_-_Project_E1930._Improving_Search_Facility_in_Expertiza</t>
  </si>
  <si>
    <t>Lots of issues in the code. Date-picker must be consistent with other date pickers used in the system. In questionnaires search, change "Text" to "Question text" In tree_display_controller.rb, comment why the "search" parameter is used. Consider renaming it to "filter" In user_controller.rb, the search functionality must not be in the list method (should probably be passed as a parameter). Also, the 'copy_user_data' method must probably be moved to a model. Why was "cur_threads" re-named to "threads"? Some methods have been directly moved over from the previous version of the project. They have not been re-factored and are too long. Inadequate tests. Some tests also appear to depend on code that's failing.</t>
  </si>
  <si>
    <t>Very good coverage of the design. Your screenshots are very effective in showing the changes, and they are motivated well. You did a good job of showing changes made to the db. But the doc was not updated to say which code was changed. That is one of the most important needs for teams that follow after you.</t>
  </si>
  <si>
    <t>E1929</t>
  </si>
  <si>
    <t>drupadhy ajain32 panumul nparanj</t>
  </si>
  <si>
    <t>http://wiki.expertiza.csc.ncsu.edu/index.php/E1929_Visualizations_for_Instructors
https://github.com/expertiza/expertiza/pull/1440
https://drive.google.com/file/d/18cFubhIthLwdhgA27mGI2_qSl1j5Ter-/view?usp=sharing</t>
  </si>
  <si>
    <t>Needs further testing before we decide.</t>
  </si>
  <si>
    <t>The project fixes up issues of 1859. The new UI is good and intuitive. Codewise, the code follows good practices and is properly commented. The only issue I believe is the lack of reasoning in the documentation as to why the code design was chosen the way it is. For e.g. review_round_stats.rb model is only calls CriterionStats model which is also created by the team. The team's reasoning is that they were trying to follow the law of demeter; but this reasoning is not evident and is not described in comments or wiki. Ditto for other code changes.
Many changes were whitespace changes.
They use a diff. charts library than Google.
This seems like a very good base for visualizations.  However, the end result is not as useful as it could be.  I would say merge now, or let it be the basis for another project.</t>
  </si>
  <si>
    <t>For design doc: You did quite a good job describing how your tests work; unfortunately you did not do the same for the code.  The "Decisions" section does that to some extent, but it would be more useful if it structured in terms of what code files were changed.  Simply listing the files to be changed is not very helpful; it asks the reader to figure out for himself (her) what has been done.</t>
  </si>
  <si>
    <t>E1928</t>
  </si>
  <si>
    <t>nkapadi atiruma ssiddha nkuncha</t>
  </si>
  <si>
    <t>https://github.com/expertiza/expertiza/pull/1424
http://wiki.expertiza.ncsu.edu/index.php/CSC/ECE_517_Spring_2019_-_Project_E1928._Allow_reviewers_to_bid_on_what_to_review
https://github.com/kunalnarangtheone/expertiza/tree/beta
https://drive.google.com/open?id=1h1D1Tvo3AzYl1IPgLEbNqOJbOZDJTFH8</t>
  </si>
  <si>
    <t>The team seems to have put in an effort. There were two main tasks to be completed - getting the Stable marriage (Gale Shapely's) algorithm to work and incorporating the topic bidding UI for review bidding. The demo mentioned that the team could not get UI to work. However, it is unclear if the algorithm works as intended. It would have been better if the team had got one aspect (algo or UI) to work fully, instead of two partially working codes.</t>
  </si>
  <si>
    <t>E1927</t>
  </si>
  <si>
    <t>mblewall skandur jwboykin</t>
  </si>
  <si>
    <t>http://wiki.expertiza.ncsu.edu/index.php/CSC/ECE_517_Spring_2019/E1927_Let_Course_Staff_as_Well_as_Students_Do_Reviews
https://github.com/mblewallncsu/expertiza
https://www.youtube.com/watch?v=sRstoUQLH98
https://www.youtube.com/watch?v=eE1oDiWmixk
https://github.com/expertiza/expertiza/pull/1459/files</t>
  </si>
  <si>
    <t>x, but not hi priority</t>
  </si>
  <si>
    <t>Even though it says you can’t change submitted reviews, as an instructor, you can. [Shouldn't they suppress this message?]
Seems like from the View submissions page, you just click on the project name, &amp; it takes you to another page where all the projects are listed!  [No, this is View submissions for a non-team assgt., &amp; even in the regular Expertiza, there is no page header.]
Student does see instructor icon for instructor review, but the icon is too big.
Added code in response_controller.rb's new method, VERY suspect.
Instructor is now using a method of student_review_controller.
They create a StaffParticipant class for this reviewer, which is good.
Requires lots of checks to make exceptions for staff participants</t>
  </si>
  <si>
    <t>Very good coverage of the design.  Your screenshots are very effective in showing the changes, and they are motivated well. But the doc was not updated to say which code is changed.  That is one of the most important needs for teams that follow after you.</t>
  </si>
  <si>
    <t>E1926</t>
  </si>
  <si>
    <t>ikatsar yzhu45 dmbhavsa vjgolwal</t>
  </si>
  <si>
    <t>http://wiki.expertiza.ncsu.edu/index.php/CSC/ECE_517_Spring_2019_E1926_Improve_self-review
https://github.com/expertiza/expertiza/pull/1462
https://drive.google.com/file/d/1wnYxQxETkZM0yU83M80QYGNZkJ7lsIEq/view?usp=sharing</t>
  </si>
  <si>
    <t>x, but respecify</t>
  </si>
  <si>
    <t>The code to calculate the derived peer review score is duplicated. There are a lot of code changes that dont seem necessary. The demo did not show if the calculations are correct. Having a table of output or having a better demo video would have helped. Reason for changing existing test was not really explained.  Most of the testing was manual whereas they could have written some feature tests.</t>
  </si>
  <si>
    <t>For design doc: It is not clear how the score is derived.  You refer to the SPARK Plus paper that gives the formula for SAPA, but SAPA is just a measure of how much more positive you are about yourself than your teammates are.  There is no obvious way to combine this with a peer-review score.  You list files that are to be modified, but don't say anything about why they will be changed or what changes will be made to them.</t>
  </si>
  <si>
    <t>E1925</t>
  </si>
  <si>
    <t>knarang asubram7 dde sbekkem</t>
  </si>
  <si>
    <r>
      <rPr>
        <rFont val="Arial"/>
        <color rgb="FF000000"/>
        <sz val="10.0"/>
      </rPr>
      <t xml:space="preserve">http://wiki.expertiza.ncsu.edu/index.php/CSC/ECE_517_Spring_2019_-_Project_E1925._Refactor_E1858._Github_metrics_integration#Project_E1858_Issues
https://www.youtube.com/watch?v=QMVXceN7XFg&amp;t=2s
http://152.46.17.171:8080/
</t>
    </r>
    <r>
      <rPr>
        <rFont val="Arial"/>
        <color rgb="FF1155CC"/>
        <sz val="10.0"/>
        <u/>
      </rPr>
      <t>https://github.com/expertiza/expertiza/pull/1455</t>
    </r>
  </si>
  <si>
    <t>Will be redone by Carl Colglazier, but it might be helpful to Redo</t>
  </si>
  <si>
    <t>- You refactored the code from last-year team and made sure the functionality still works, which is good. We will try to merge your pull request.
- You moved lots of instance variables into a hash table, which is good. 
- You should add github_auth.yml in the .gitignore file and not commit it to GitHub.
- There is 100 code smells detected by the code climate.
- There are one or more skipped/pending/focused test cases in your pull request. Please fix them. If the method be tested are not in the code base anymore, you could delete these two tests.</t>
  </si>
  <si>
    <t>For design doc: You do a good job of explaining the problems with the previous implementation.  And you show code that has been changed.  I think there should be more comments.  A Github diff view would be clearer than the monochrome wiki listing.  The main issue that I see, though, is that when you show code that has been changed, you don't say what file it is in.  True, the reader could search in Github.  But (s)he shouldn't have to.</t>
  </si>
  <si>
    <t>E1924</t>
  </si>
  <si>
    <t>sbhadau rsethi3 apabba</t>
  </si>
  <si>
    <r>
      <rPr>
        <rFont val="Arial"/>
        <color rgb="FF000000"/>
        <sz val="10.0"/>
      </rPr>
      <t xml:space="preserve">http://wiki.expertiza.ncsu.edu/index.php/CSC/ECE_517_Spring_2019_-_Project_E1924._Regulate_changing_of_rubrics_while_projects_are_in_progress
</t>
    </r>
    <r>
      <rPr>
        <rFont val="Arial"/>
        <color rgb="FF1155CC"/>
        <sz val="10.0"/>
        <u/>
      </rPr>
      <t>https://github.com/expertiza/expertiza/pull/1461</t>
    </r>
  </si>
  <si>
    <t>What we saw looks good, but the shallow tests, etc. don't give me confidence that the code actually works.  Would've gotten 93 if they fixed shallow tests in time.
Tests need to check if old response objects are removed when a major change is made. 
self.get_answers must be re-named. It isn't actually returning answers, but is sending e-mails and deleting responses. The method also needs comments as its not immediately clear what the code is doing.</t>
  </si>
  <si>
    <t>For design doc:  This is a good description of the rationale and the changes to be made, along with showing how the code was updated.  Only two things jump out at me.  1. It would have clearer if when you showed the update method, you showed it as a diff; I'm sure it existed before, and I'd like to see what changes were made.  Also, it is not clearly stated which controller that change is made to.  2. You should have described what the new tests tested.</t>
  </si>
  <si>
    <t>E1923</t>
  </si>
  <si>
    <t>lle3 jfwang2</t>
  </si>
  <si>
    <t>http://wiki.expertiza.ncsu.edu/index.php/CSC517_Spring_2019/E1923_New_Framework_For_Import/Export#Expertiza_Background
https://github.com/expertiza/expertiza/pull/1438
https://youtu.be/1nSnjta_zIc</t>
  </si>
  <si>
    <t>No, despite what this spreadsheet cell formerly said!</t>
  </si>
  <si>
    <t>Import / Export has been extensively refactored
You can import files with/without header
They built on the existing import_file_controller.
They looked at which models had import in them.
They cleaned it up &amp; made it all generic.
Now, you can specify a delimiter &amp; 
Veena explains some of the changes they made to the code
[This is fairly low risk to merge, because students don’t use this code at all.]
It confirms the column headers, but why does it suggest the same header for all 3 columns?  [This was fixed later.]
The code has been cleaned up considerably.</t>
  </si>
  <si>
    <t>For design doc:There are many good aspects of this design doc.  It explains what was done, and why, in narrative fashion.  It has a useful diagram showing the changes.  But there are also shortcomings.  The "what we plan to do" and "what we did" are two separate sections, requiring the reader to read both.  It would be easier to read if the "what we plan to do" section had been changed to explain what was done.  The code in the Github screenshots is illegible.  There are several really long lists, that would be hard for the reader to grasp.  It would be better if the lists had been refactored into general topics, with a smaller number of items under each header.  (Code in Github screenshots is now legible, and big lists have been broken up. )</t>
  </si>
  <si>
    <t>2019 Spring OSS</t>
  </si>
  <si>
    <t>E1922</t>
  </si>
  <si>
    <t>Jasmine Wang (jfwang2) Louis Le (lle3)</t>
  </si>
  <si>
    <t>http://wiki.expertiza.ncsu.edu/index.php/CSC/ECE_517_Spring_2019_-_E1922._Write_tests_for_assessment360_controller.rb
https://github.com/jasminewang0/expertiza
https://drive.google.com/file/d/1kOfgEiF6LIPUov-hOTW5nrGdHDgJKuWC/view?usp=sharing</t>
  </si>
  <si>
    <t>- They did a really good job!
- Their tests could add one more kind of expectation: expect(response).to render_template(:view_name)
- Their tests could add more conditions (contexts) and eliminate some duplicated code.
- I have already merged their pull request.</t>
  </si>
  <si>
    <t>The wiki page is very short and does not describe why you wrote the tests you wrote, or how those tests operate.  It just gives pointers to the code.</t>
  </si>
  <si>
    <t>E1921</t>
  </si>
  <si>
    <t>rdmarshb ychen239 hlu6</t>
  </si>
  <si>
    <t>http://wiki.expertiza.ncsu.edu/index.php/CSC/ECE_517_Spring_2019_-_Project_E1921._Write_tests_for_popup_controller.rb
https://github.com/expertiza/expertiza/pull/1410</t>
  </si>
  <si>
    <t>- The Travis CI pass.
- They should not change database.yml.example and factories.rb file. They ignored the warnings given by the bot.
- They did not finish one test case at L261.
- Their integration tests did not include the expectation of http response.
- Their tests used many wild card, e.g., any_args
- They wrote shallow tests—tests without expectations, e.g., describe '#build_tone_analysis_report' do
- We could partially merge their pull request</t>
  </si>
  <si>
    <t>Good description of what needed to be done, and how it was accomplished.  A little more rationale on why you wrote the tests you did (and no other ones) would've been helpful.</t>
  </si>
  <si>
    <t>E1920</t>
  </si>
  <si>
    <t>gshugh ngtitov cladkins</t>
  </si>
  <si>
    <t>http://wiki.expertiza.ncsu.edu/index.php/E1920_Fix_Code_Climate_Issues
https://github.com/expertiza/expertiza/pull/1368
http://152.46.16.74:8080/</t>
  </si>
  <si>
    <t>Yes, but Not Yet (ask Nikolay)</t>
  </si>
  <si>
    <t xml:space="preserve">The team has done an excellent job. They have not just moved duplicate code to methods, but have rewritten the refactored code in a better way, following DRY principles. Many gaps in test cases were filled and new tests were written for classes that din't have tests before. Enough comments have been added. </t>
  </si>
  <si>
    <t>This is an excellent description of the changes made, with rationales for each.  Will be very helpful to future developers.  The only thing I would change is the very long screenshots, which could be replaced by links to them in Github.</t>
  </si>
  <si>
    <t>E1919</t>
  </si>
  <si>
    <t>rsethi3</t>
  </si>
  <si>
    <t xml:space="preserve">https://github.com/expertiza/expertiza/pull/1416
https://codeclimate.com/github/expertiza/expertiza/pull/1416
https://travis-ci.org/expertiza/expertiza/builds/514206631?utm_source=github_status&amp;utm_medium=notification
http://wiki.expertiza.ncsu.edu/index.php/CSC/ECE_517_Spring_2019_-_E1919_CodeClimate_Issues
</t>
  </si>
  <si>
    <t>Changed to reuse on 2021/02/11</t>
  </si>
  <si>
    <t>The team has done good job at resolving many of the code climate issues and has written clean code. The team should have added comments and tests for the code they have modfied. No test cases or comments have been written. Many of the code climate in multiple models have not been addressed for example: the issues  in metareview_response_map.  Also, they could have done refactoring in addition to the code climate issues mentioned for example replacing if else ladder or moving the html code from model. However, I feel the code should be merged as it address many of the code climate issues correctly.</t>
  </si>
  <si>
    <t>Good description of the changes made, and the rationale for them.  You attempted to summarize how many issues were resolved.  A textual summary of the most common would also have been helpful.</t>
  </si>
  <si>
    <t>E1918</t>
  </si>
  <si>
    <t>E1917</t>
  </si>
  <si>
    <t>uschatto zwu17 nkapadi</t>
  </si>
  <si>
    <t xml:space="preserve">http://wiki.expertiza.ncsu.edu/index.php/CSC/ECE_517_Spring_2019_-_Project_E1917._Fix_Code_Climate_issues_in_controllers_with_names_beginning_with_P_through_Z
https://github.com/expertiza/expertiza/pull/1371
</t>
  </si>
  <si>
    <t>- Their refactoring failed the Travis CI
- If they could make the Travis CI pass, we might increase the grade.</t>
  </si>
  <si>
    <t>On the micro level, you have described your changes well, But rather than look at them one by one, I'd like to see a summary of what were the issues that cropped up frequently, so we can advise future students to avoid them.  Also, when you had the long list of changes, it would've been helpful to group them into similar types so that there would've been some structure to the list.</t>
  </si>
  <si>
    <t>E1916</t>
  </si>
  <si>
    <t>swang28 hchang15 gyu22</t>
  </si>
  <si>
    <t xml:space="preserve">http://wiki.expertiza.ncsu.edu/index.php/CSC/ECE_517_Spring_2019_-_Project_E1916._Fix_Code_Climate_issues_in_controllers_with_names_beginning_with_A_through_N
https://github.com/expertiza/expertiza/pull/1399
https://www.youtube.com/watch?v=sbAhEYn_JMM&amp;feature=youtu.be
</t>
  </si>
  <si>
    <t>- The Travis CI pass.
- Some of their modications are incorrect. For instance, they did not eliminate duplicated code by creating new methods. They changed the variable names to make two pieces of code look to similar. Another problem is that they commented out the code with issue "Avoid using update_attribute because it skips validations". The correct way is to change "update_attribute" to "update_attributes".
- We could partially merge their pull request.</t>
  </si>
  <si>
    <t xml:space="preserve">On the micro level, you have described your changes well,  But rather than look at them one by one (which I could do through Github's diff), I'd like to see a summary of what were the issues that cropped up frequently, so we can advise future students to avoid them.  </t>
  </si>
  <si>
    <t>E1915</t>
  </si>
  <si>
    <t>attiffan gabalmat asmille5</t>
  </si>
  <si>
    <r>
      <rPr>
        <rFont val="Arial"/>
        <sz val="10.0"/>
      </rPr>
      <t xml:space="preserve">http://wiki.expertiza.ncsu.edu/index.php/E1915_Authorization_Utilities
</t>
    </r>
    <r>
      <rPr>
        <rFont val="Arial"/>
        <color rgb="FF1155CC"/>
        <sz val="10.0"/>
        <u/>
      </rPr>
      <t>https://github.com/expertiza/expertiza/pull/1364</t>
    </r>
    <r>
      <rPr>
        <rFont val="Arial"/>
        <sz val="10.0"/>
      </rPr>
      <t xml:space="preserve">
</t>
    </r>
  </si>
  <si>
    <t>Project is very neat, and a big advance in readability.  I do have a few questions about the functionality.  In the automated_metareview controller, it seems it should check to see whether the student is a party to the metareview, not just that (s)he is participating in the assignment.  The current code doesn't check either, but it should.  "assign_instructor_id == @questionnaire.try(:instructor_id))" could have been coded more clearly.  756 lines of tests written, which must be a record.</t>
  </si>
  <si>
    <t>On the micro level, every change made was well described.  On the macro level, I would've liked to see an overview of the new methods you created and what they would be used for.  E.g., one use case is to make sure that someone with at least a certain level of privilege is executing method m.  Another use case is to make sure that only users involved with a review, meta-review, teammate review, etc. can see it.</t>
  </si>
  <si>
    <t>E1914</t>
  </si>
  <si>
    <t>nparanj bbdeshpa knarang</t>
  </si>
  <si>
    <t xml:space="preserve">https://github.com/expertiza/expertiza/pull/1367
http://152.46.17.33:8080
http://wiki.expertiza.ncsu.edu/index.php/E1914_Refactor_users_controller
</t>
  </si>
  <si>
    <t>Code has been copied to the new controller without renaming methods as appropriate.  Basic CRUD names should be used wherever they will suffice.  You modified a migration file instead of creating a new one.  This prevents rerunning the migrations on the current system to make the change that the project made.  New migrations should always be created.  Using your changes, we'll have to manually rename tables.</t>
  </si>
  <si>
    <t>On the micro level, every change made was well described.  On the macro level, it's not clear why you listed the changes in the order that you did.  More structure would've been helpful.</t>
  </si>
  <si>
    <t>E1913</t>
  </si>
  <si>
    <t>drupadhy ajain32 atiruma</t>
  </si>
  <si>
    <t xml:space="preserve">https://github.com/expertiza/expertiza/pull/1393
http://wiki.expertiza.ncsu.edu/index.php/CSC/ECE_517_Spring_2019_-_Project_E1913._Refactor_review_mapping_helper.rb
</t>
  </si>
  <si>
    <t>Tests could have been more robust. Code changes are adequate, though new method names do not follow Ruby naming conventions (get_, etc.). One was changed from American to British spelling.  Dead code should have been removed, not commented out.  Some of the Code Climate issues should have been resolved.</t>
  </si>
  <si>
    <t>The before/after sequences involving only one method name could have been put in a table rather than in separate boxes, which hampers readability. The rest of the changes are better documented, but the rspec test should've been described in more detail.</t>
  </si>
  <si>
    <t>E1912</t>
  </si>
  <si>
    <t>amody dde asubram7</t>
  </si>
  <si>
    <t xml:space="preserve">https://github.com/expertiza/expertiza/pull/1395
http://wiki.expertiza.ncsu.edu/index.php/CSC/ECE_517_Spring_2019_-_Project_E1912._Export_Tagged_Comments
</t>
  </si>
  <si>
    <t>Project implements desired functionality correctly.  Code seems very clean.  Dangerfile should not have been added to the project.</t>
  </si>
  <si>
    <t>I thought you could have described in more detail what the code does, e.g., what tables and fields are involved, and how you iterate through them.  Giving the final code doesn't provide a very easy way for the reader to understand your approach.</t>
  </si>
  <si>
    <t>E1911</t>
  </si>
  <si>
    <t>amadhus2 mkushal sbekkem</t>
  </si>
  <si>
    <t>http://wiki.expertiza.ncsu.edu/index.php/E1911_Refactor_Criterion
https://github.com/expertiza/expertiza/pull/1407
https://github.com/sbekkem/expertiza/tree/master
http://152.46.19.41:8080</t>
  </si>
  <si>
    <t xml:space="preserve">Done a good job of moving code to partials. They could have identified the business logic from view_completed_question and only kept the logic in the model, and extracted html code to partial to make the model completely independent of how files are displayed. Also, tests have been removed, but since most code has been moved to a partial, I think it's acceptable.
Overall, a good job. </t>
  </si>
  <si>
    <t>You described your changes well.  I would suggest a couple of enhancements that could've made the presentation easier to follow: (1) Juxtapose the old and new code for each modification.  In your organization, one needs to flip from the "problems" to "solutions" section to understand each change that has been made.  (2) Show code snippets pasted from Github diffs, where the changes are highlighted in color, and the code is more readable.</t>
  </si>
  <si>
    <t>E1910</t>
  </si>
  <si>
    <t>bnmwanik pjain22</t>
  </si>
  <si>
    <t>http://wiki.expertiza.ncsu.edu/index.php/CSC/ECE_517_Spring_2019_E1910_Refactor_assignments_controller.rb
https://github.com/expertiza/expertiza/pull/1377</t>
  </si>
  <si>
    <t xml:space="preserve">Significant improvement of this controller.  However, some further changes could have been made to move irrelevant functionality (e.g., badging) out of this controller. The refactoring of all the function names seems appropriate. Code seems to be mergable. </t>
  </si>
  <si>
    <t>You did a good job of explaining the rationale behind the changes made, and showed the code (albeit in pretty small font) that was affected. This will help the reader understand your changes.  It would have been even better if you had described how the "after" code worked (instead of just displaying the code).</t>
  </si>
  <si>
    <t>E1909</t>
  </si>
  <si>
    <t>rpalusz ikatsar wli21</t>
  </si>
  <si>
    <t xml:space="preserve">https://github.com/expertiza/expertiza/pull/1396
http://wiki.expertiza.ncsu.edu/index.php/E1909_Refactor_review_mapping_controller
</t>
  </si>
  <si>
    <t>Mostly extracted code to methods. Code extracted to method looks proper. No new tests are added.
More refactoring could have been done.
Several code changes bring in unnecessary variables (able_to, response_maps_decrement, empty,  unsuccessful_increment ) to replace integers.
While it is accepted a good code should not have arbitrary numbers, &gt;0 and +=1 should not need variables.
However, some tests are failing. The failing tests have not been addressed.</t>
  </si>
  <si>
    <t xml:space="preserve">Your examples say that code was added, but don't describe the code or what it is used for.  The reader needs to figure that out by reading the code.  For someone following on, it would be much more useful to have a description of how the code works. </t>
  </si>
  <si>
    <t>E1908</t>
  </si>
  <si>
    <t>vradhak skandur spadala</t>
  </si>
  <si>
    <t xml:space="preserve">https://github.com/SrikarKanduri/expertiza
http://wiki.expertiza.ncsu.edu/index.php/E1908_signupsheet
</t>
  </si>
  <si>
    <t>1908
Got right:
1. added comments.
2. Properly extracted DRY code from delete_signup and delete_signup_as_instructor
3. can_delete_topic is a proper refactor.
Needs improvement: 
0. Travis CI build fails
2. line 59 -- removed the update call in create, instead are throwing an error message. Will existing functionality be impacted? No reason is given for replacing the update with an error.
3. line 90 -- moved all the variables to function call. As the doc clearly states, this was not what had to be done. params should have been passed instead.
5. line 122 -- set_values_for_new_topic should not be a separate method. Why wasn't it refactored ?
6. line 137 -- removed condition checking assignment's staggered deadline.  Since add_signup_topics and add_signup_topics_staggered are same functions, this refactor will work.However,  comment regarding the same is misleading - staggered deadline has been implemented, and the refactor was done with an incorrect reasoniing.
7. (old) line 216 - moved if-else ladder to a function. created a new function which is called from only one place. This shouldn't have been done.
8. delete_signup and delete_sugnup_as_instructor still have some code in common.
9. No new tests have been added.</t>
  </si>
  <si>
    <t xml:space="preserve">To show the changes made, it would've been better to illustrate the difference between before and after, rather than just display the "after" code.  When you remove code, it should be removed rather than just commented out.  And the running text does not describe how the code works, just the changes made.  For someone following on, it would be much more useful to have a description of how the code works. </t>
  </si>
  <si>
    <t>E1907</t>
  </si>
  <si>
    <t>mblewall agodava apabba</t>
  </si>
  <si>
    <t xml:space="preserve">https://github.com/Anusha-Godavarthi/expertiza
https://github.com/expertiza/expertiza/pull/1414
http://wiki.expertiza.ncsu.edu/index.php/Spring2019_E1907_refactor_response_controller
</t>
  </si>
  <si>
    <t>Requested changes have been made.  Team has put in good effort in moving the pending_surveys function to appropriate file. Testing is a question, though.  We don't have any proof that your changes didn't break anything; a screencast video could have shown that it still worked.  Comments have been added about the pre-existing code, however it would be helpful if comments about the modified code were provided too. 
Lastly, the spec testing pending_surveys has been removed from response_controller_spec instead of being moved to appropriate spec file.</t>
  </si>
  <si>
    <t>The descriptions of most of the changes are clear.  However, the project asked you to add comments where needed, and very few of these comments or descriptions appear in the design doc.  You did include method comments for private methods, but not the bodies of those methods, which makes it hard to see the value of the comments.</t>
  </si>
  <si>
    <t>E1906</t>
  </si>
  <si>
    <t>rkaur jwboykin sbasnet2</t>
  </si>
  <si>
    <t xml:space="preserve">https://github.com/jwboykin/expertiza
http://wiki.expertiza.ncsu.edu/index.php/CSC/ECE_517_Spring_2019_-_Project_E1906._Refactor_stage_deadlines_in_Assignment.rb
http://oss.flazzle.com/
</t>
  </si>
  <si>
    <t>The team did quite a nice job of refactoring 5 methods into 2 and making the code more readable.  However, many reviewers have reported that the build has failed, and build failures are due to their changes, so I would not feel comfortable merging this code.</t>
  </si>
  <si>
    <t>Great job!  Good documentation of changes made for each issue. There are no deficiencies that I can find.</t>
  </si>
  <si>
    <t>E1905</t>
  </si>
  <si>
    <t>dmbhavsa vjgolwal jwarren3</t>
  </si>
  <si>
    <t xml:space="preserve">http://wiki.expertiza.ncsu.edu/index.php/CSC/ECE_517_Spring_2019_-_Project_E1905._Refactor_questionnaires_controller.rb
https://github.com/expertiza/expertiza/pull/1388
https://drive.google.com/file/d/1WMXYqinxNA5ZsAWy_ExzHZpCpxThAO1A/view
</t>
  </si>
  <si>
    <t>Refactoring is pretty good in most respects.  Code is a little short on comments.
Team has done  good job of looking into the existing code and refactoring the duplicate code.</t>
  </si>
  <si>
    <t>Good description of what was done to address the first few issues, but making code DRYer needed snippets of the code you changed (paste in relevant lines, etc.).</t>
  </si>
  <si>
    <t>E1904</t>
  </si>
  <si>
    <t>yzhu45 rdemarc rsskinne</t>
  </si>
  <si>
    <r>
      <rPr>
        <rFont val="Arial"/>
        <color rgb="FF1155CC"/>
        <sz val="10.0"/>
        <u/>
      </rPr>
      <t>https://expertiza.csc.ncsu.edu/index.php/E1904_Issues_related_to_topic_deadlines</t>
    </r>
    <r>
      <rPr>
        <rFont val="Arial"/>
        <sz val="10.0"/>
      </rPr>
      <t xml:space="preserve">
https://github.com/expertiza/expertiza/pull/1401
https://youtu.be/b3giXbKLirk
</t>
    </r>
  </si>
  <si>
    <t>Code for checking if the drop_topic deadline has passed was inserted in create_ and edit_assignment.  First, the drop_topic deadline definitely cannot have occurred before an assignment is created.  Secondly, waitlists will be cleared only if the assignment is edited after the drop_topic deadline (as in the video).  But this is an unusual situation; the instructor would typically not edit an assignment after setting it up, and would not know it was necessary to do so when the drop-topic deadline passes  This code should not be in assignments_controller; rather, it should be triggered by a scheduled task when the deadline passes; or perhaps whenever anyone views a waitlist, a check could be made to see if the deadline has passed.  The code for dropping waitlisted teams duplicates code in waitlist.rb (self.cancel_all_waitlists).  It should call this code, rather than duplicating it.
The code for clearing a waitlist does not accommodate different drop-topic deadlines for different topics, as it was supposed to do.
No tests were written.
[See email from Bobby DeMarco on Apr. 12 saying why they called the waitlists were cleared from the two controllers (assignments_controller, signup_sheet_controller).  It would probably work.  Upon seeing this rationale, I raised their grade from 78 to 85.]</t>
  </si>
  <si>
    <r>
      <rPr>
        <b val="0"/>
      </rPr>
      <t>This is a good narrative of the issues encountered, and how to reproduce them.  It suffers from not having code sequences shown</t>
    </r>
    <r>
      <rPr>
        <b/>
      </rPr>
      <t>.</t>
    </r>
  </si>
  <si>
    <t>E1903</t>
  </si>
  <si>
    <t>ssiddha nkuncha aarya</t>
  </si>
  <si>
    <t xml:space="preserve">http://wiki.expertiza.ncsu.edu/index.php/CSC/ECE_517_Spring_2019_-_Project_E1903._Create_quiz_questionnaires_controller.rb
https://cl.ly/93e160fae227
https://github.com/expertiza/expertiza/pull/1390
</t>
  </si>
  <si>
    <t>Yes, in the beta branch</t>
  </si>
  <si>
    <t>Would have liked to see you make more changes to the code, rather than just move existing code into a new controller.  Some of the methods in quiz_questionnaire are complex, and their names have been chosen to avoid clashes with existing names.  Better to refactor the controller after moving the code...</t>
  </si>
  <si>
    <t>Starts out very well, with good explanations and code snippets.  Further down, the code snippets are pasted in with raw text and the commentary is less complete.</t>
  </si>
  <si>
    <t>E1902</t>
  </si>
  <si>
    <t>hbbadiya panumul asivaga</t>
  </si>
  <si>
    <t xml:space="preserve">http://wiki.expertiza.ncsu.edu/index.php/E1902_ahp_project#Implementation_approach
https://github.com/arjun-0896/expertiza
</t>
  </si>
  <si>
    <t>The design does not seem to be clean.  Code is put into the wrong places. Code for emailing participants in all but final round is newly inserted in the middle of a method in submitted_content_controller.  This is not the right place for it, and it only works if the author submits a hyperlink, not if (s)he submits a file.  There should be a new method to do this (BTW, I think the code already does it, so it might be a call to an existing method).  And the method call is to "delayed_message" despite the fact that the message would be sent immediately!  The find_team_members does not belong in submitted_content_controller!  Ditto for the other methods involving teams. Methods for dropping topics should be in topics code, not in mailer code.
Why were 14 blank lines inserted in assignment_participant.rb?</t>
  </si>
  <si>
    <t>Good description of the changes to be made.  I would suggest writing "Implementation approach" in present tense. In contrast to many documents that have long sequences of code without any explanation, yours has explanations without any references to the code.  Showing code snippets would be helpful.</t>
  </si>
  <si>
    <t>E1901</t>
  </si>
  <si>
    <t>E1900</t>
  </si>
  <si>
    <t>2018 Fall Final</t>
  </si>
  <si>
    <t>E1879</t>
  </si>
  <si>
    <t>zhan23 yzhao47 pchen23 jzhang97</t>
  </si>
  <si>
    <r>
      <rPr>
        <rFont val="Arial"/>
        <color rgb="FF1155CC"/>
        <sz val="10.0"/>
        <u/>
      </rPr>
      <t>https://expertiza.csc.ncsu.edu/index.php/CSC/ECE_517_Fall_2018/E1879_Student_Generated_Questions_Added_To_Rubric</t>
    </r>
    <r>
      <rPr>
        <rFont val="Arial"/>
        <color rgb="FF000000"/>
        <sz val="10.0"/>
      </rPr>
      <t xml:space="preserve">
https://github.com/zyczyh/expertiza
https://github.com/expertiza/expertiza/pull/1325
https://youtu.be/3PUNknSbU-k
</t>
    </r>
  </si>
  <si>
    <t>- Your UI changes break the existing views (heat map).
- You should not change the Gemfile.
- Your final project commits mixes with OSS project commits (E1850).
- Messy pull request. Your pull request reverted many refactoring from the master branch.
- At this time, we decide not to merge your pull request.</t>
  </si>
  <si>
    <t>Document shows clearly how the new feature is used by instructor and students.  The flowcharts are a bit too large.  The test plan is not well developed, as most reviewers pointed out.  A simple listing of files that were modified does not help the reader understand what changes were made; it would be better to link to diffs in Github.</t>
  </si>
  <si>
    <t>E1878</t>
  </si>
  <si>
    <t>adhaval vsrivat pkannia kmkangut</t>
  </si>
  <si>
    <r>
      <rPr>
        <rFont val="Arial"/>
        <color rgb="FF000000"/>
        <sz val="10.0"/>
      </rPr>
      <t xml:space="preserve">http://wiki.expertiza.ncsu.edu/index.php/CSC/ECE_517_Fall_2018/E1878_Integrate_Suggestion_Detection_Algorithm
</t>
    </r>
    <r>
      <rPr>
        <rFont val="Arial"/>
        <color rgb="FF1155CC"/>
        <sz val="10.0"/>
        <u/>
      </rPr>
      <t>https://github.com/expertiza/expertiza/pull/1308</t>
    </r>
    <r>
      <rPr>
        <rFont val="Arial"/>
        <color rgb="FF000000"/>
        <sz val="10.0"/>
      </rPr>
      <t xml:space="preserve">
https://www.youtube.com/watch?v=MclO-kTnhtU</t>
    </r>
  </si>
  <si>
    <t>The textbox is put to the right of the review comment (one for each criterion)
   We can think about aggregating the info for all comments.
Only 45 lines of code, all added.
Should be changed not to redisplay the text of the comment in the feedback box.
1. Should have had a more consolidated view with only the required things shown. For ex, should have gotten rid of the text field from the API return. 2. The cross origin issue definitely makes the project unmerge-able for now.</t>
  </si>
  <si>
    <t>I think that the Background Information could be better expressed.  For example, "classifiers are already ported into web services" is a rather confusing way of saying that we have written a web service that contains code to detect suggestions.  In the Prerequisites section, a large amount of code is pasted in with no real explanation, and only three 1-line comments.  I thought that the demo did a better job of showing the request that was transmitted to the web service and the metrics that were returned.</t>
  </si>
  <si>
    <t>E1877</t>
  </si>
  <si>
    <t>rbhasin rdasori pmshah aarnav</t>
  </si>
  <si>
    <t xml:space="preserve">http://wiki.expertiza.ncsu.edu/index.php/E1877_Sort_instructor_reports_by_name,_ID,_score,_etc
https://github.com/expertiza/expertiza/pull/1287
https://youtu.be/ZhXLnN5kpW8
</t>
  </si>
  <si>
    <t>Partially; redo</t>
  </si>
  <si>
    <t>Nicely edited video--no pauses.
Code seems pretty clean and they fixed the whitespace issue in their pulll request and added more comments after the demo. 
All the tests pass.
Javascript is fine except for hardwired constants.</t>
  </si>
  <si>
    <t>The wiki is detailed and well organized, they included many screenshots to explain the changes they’ve made and compare the UIs before and after their changes. However, the UML design document is not UML; it's just a flowchart. They also added more explanation about their solution of sorting one table as suggested in the demo. Most 2nd round reviews gave them the highest scores.</t>
  </si>
  <si>
    <t>E1876</t>
  </si>
  <si>
    <t>mjain6 psingh22 tnanda kaacken2</t>
  </si>
  <si>
    <t xml:space="preserve">http://wiki.expertiza.ncsu.edu/index.php/CSC/ECE_517_Fall_2018/E1876_Completion/Progress_view
https://youtu.be/14bx6vD3dOE
https://github.com/expertiza/expertiza/pull/1290
</t>
  </si>
  <si>
    <t xml:space="preserve">They added a column to the review report (which is already pretty crowded).  But often there is no author feedback, so it will be mostly wasted space.
They can make the column toggleable.
Also, the reviewer column can be squeezed, by using wrapping.
The author-feedback scores are averages, as each team member gets to give feedback on the same review.
The code is well written with comments in appropriate, however it can be simplified. The column being toggable would have been better. </t>
  </si>
  <si>
    <t>This is a concise summary of what the project does.  I would prefer that steps in the Relevant Database Tables and Implementation section be itemized; I think that would make it more readable, but overall, the authors have done a good job explaining how their project works.</t>
  </si>
  <si>
    <t>E1875</t>
  </si>
  <si>
    <t>bbryson mfleader rsiyer2 atewari</t>
  </si>
  <si>
    <t xml:space="preserve">http://wiki.expertiza.ncsu.edu/index.php/E1875_Revision_Planning_Tool
http://152.46.17.179:8080/
https://www.youtube.com/watch?v=J1QeUd0b7RQ
</t>
  </si>
  <si>
    <t>Question numbers for the revision planning questions on the "Alternate view" page begin from 1 again, instead of continuing with the number after the original rubric questions. The travis build is failing.
It’s not clear to me where the standard review questionnaire ends &amp; the revision-planning questions begin.
The Revision Planning always shows up if the round &gt; 1.  Should be controlled by a checkbox in create/edit assignment.
Would be good to say "Create Rubric for Revision Planning", but rubric model inheritance hierarchy constrains it to have "Rubric" at the end.
There probably should be a header before the revision-planning questions, but how to do that gracefully?  (The student can already add a section header to his/her rubric items, but is very unlikely to know how to do it.)
setup_review_questionnaire --&gt; set_up_review_questionnaire ... and the comments in the method that this method calls need to explain the tests that are being performed.
Lines of code are added to questionnaires_controller and response_controller that mix functionalities into existing methods ... should be refactored, but it's hard to blame this team--you have to have global knowledge of the hierarchy to refactor it.
Documentation needs to be updated to show what was actually done.</t>
  </si>
  <si>
    <t>This document is fairly short.  It does not describe how the code has been changed, but rather just links to files in Github.  That is good, in the sense that the Github display is much easier to read than snippets pasted into the design doc.  But just reading one file after another doesn't help the reader understand how the code fits together.  Some narration is needed.  Reviewers were fairly pleased with the test plan.  It should have been mentioned whether the test plan referred to automated or (more likely) manual tests.  What the automated tests tested should have been defined.</t>
  </si>
  <si>
    <t>E1874</t>
  </si>
  <si>
    <t>E1873</t>
  </si>
  <si>
    <t>jli94 xji7 wwu24 gli22</t>
  </si>
  <si>
    <t xml:space="preserve">http://wiki.expertiza.ncsu.edu/index.php/CSC/ECE_517_Fall_2018/E1873_Specialized_rubics_for_different_topic_types
https://github.com/expertiza/expertiza/pull/1327
https://drive.google.com/open?id=1UrLb0Ula_Lb_F4MOrdC-s6xng6B08VYu
</t>
  </si>
  <si>
    <t>- In your video, you did not show the vary rubric by topic functionality (peer review).
- You suppose not to add more than 300 LoC in app/views/sign_up_sheet/_table_line.html.erb to add dropdowns.
- Your pull request is messy.
- Travis CI fails because you did not commit schema.rb file.
- At this time, we decide not to merge your pull request.</t>
  </si>
  <si>
    <t>The document gives a good overview of how the code is implemented, but it would be good if it included links to the code, e.g., in Github.  The screeshot of the implemented signup page is not very clear.  On the tests, instead of just saying "when" they are used, it would be good to see what conditions cause them to pass or fail.</t>
  </si>
  <si>
    <t>E1872</t>
  </si>
  <si>
    <t>nuachary hasingad ppvasude sseelam2</t>
  </si>
  <si>
    <r>
      <rPr>
        <rFont val="Arial"/>
        <color rgb="FF000000"/>
        <sz val="10.0"/>
      </rPr>
      <t xml:space="preserve">http://wiki.expertiza.ncsu.edu/index.php/CSC/ECE_517_Fall_2018/E1872_Track_Time_Students_Look_At_Other_Submissions
https://youtu.be/KmycbpUQpso
</t>
    </r>
    <r>
      <rPr>
        <rFont val="Arial"/>
        <color rgb="FF1155CC"/>
        <sz val="10.0"/>
        <u/>
      </rPr>
      <t>https://github.com/expertiza/expertiza/pull/1309</t>
    </r>
  </si>
  <si>
    <t>The UI design could be improved. It would be better adding icons and displaying information when moving the cursor over icons or add the information in "Metrics" column. Some view code in _review_report.html.erb could become a partial. We can't merge this project, but the documentation is excellent and can be used in future projects.</t>
  </si>
  <si>
    <t>The document does an excellent job of describing the changes to be made.  It could be enhanced by including links to code snippets in Github.  More should be said about the tests, as mentioned by several reviewers.</t>
  </si>
  <si>
    <t>E1871</t>
  </si>
  <si>
    <t>jfgiall2 irohatg dwgoslen</t>
  </si>
  <si>
    <t xml:space="preserve">http://wiki.expertiza.ncsu.edu/index.php/CSC/ECE_517_Fall_2018_E1871_Grade_Summary_By_Student
https://github.com/expertiza/expertiza/pull/1298
http://vimeo.com/305143501
</t>
  </si>
  <si>
    <t>You wrote some shallow tests – tests concentrating on irrelevant, unlikely-to-fail conditions – please write more expectations to validate other things, such as database records, dynamically generated contents. Because your feature test only check static strings and student names on the page, with out exceptions on grade calculation.</t>
  </si>
  <si>
    <t>This design doc has uneven depth.  The testing code is described in great detail, but the implementation code is only described in outline form (though the outline is quite readable).  There is a mockup of a screen, but not a screenshot from the final version, which would have been more useful.</t>
  </si>
  <si>
    <t>E1870</t>
  </si>
  <si>
    <t>kzhao2 hfan4 yyang53 ytian22</t>
  </si>
  <si>
    <r>
      <rPr>
        <rFont val="Arial"/>
        <color rgb="FF000000"/>
        <sz val="10.0"/>
      </rPr>
      <t xml:space="preserve">http://wiki.expertiza.ncsu.edu/index.php/CSC/ECE_517_Fall_2018_E1870_Warn_of_deadlines_and_enforce_them
</t>
    </r>
    <r>
      <rPr>
        <rFont val="Arial"/>
        <color rgb="FF1155CC"/>
        <sz val="10.0"/>
        <u/>
      </rPr>
      <t>https://github.com/expertiza/expertiza/pull/1313</t>
    </r>
    <r>
      <rPr>
        <rFont val="Arial"/>
        <color rgb="FF000000"/>
        <sz val="10.0"/>
      </rPr>
      <t xml:space="preserve">
https://youtu.be/Kf3_G_Vx5Ms
</t>
    </r>
  </si>
  <si>
    <t>Partially; redo?</t>
  </si>
  <si>
    <t xml:space="preserve">
- The code is clean and easy to understand.
- You could write more feature tests in features/peer_review_spec.rb. 
- Existing tests are not passing.
- We will merge your project.</t>
  </si>
  <si>
    <t>This is a good description of the code changes that were made.  The changes were not extensive, but  they are cited directly in the design doc.  The test plan could have been elaborated similarly.  But no code is shown for it.</t>
  </si>
  <si>
    <t>E1869</t>
  </si>
  <si>
    <t>syu10 ytrived atripat6 mzhuang</t>
  </si>
  <si>
    <r>
      <rPr>
        <rFont val="Arial"/>
        <color rgb="FF000000"/>
        <sz val="10.0"/>
      </rPr>
      <t xml:space="preserve">http://wiki.expertiza.ncsu.edu/index.php?title=CSC/E1869_GRADING_AUDIT_TRAIL
http://152.46.17.225:8080/
</t>
    </r>
    <r>
      <rPr>
        <rFont val="Arial"/>
        <color rgb="FF1155CC"/>
        <sz val="10.0"/>
        <u/>
      </rPr>
      <t>https://github.com/expertiza/expertiza/pull/1297</t>
    </r>
    <r>
      <rPr>
        <rFont val="Arial"/>
        <color rgb="FF000000"/>
        <sz val="10.0"/>
      </rPr>
      <t xml:space="preserve">
https://youtu.be/xJP_8tkCr_4
</t>
    </r>
  </si>
  <si>
    <t>96 --&gt; 98 (e-mail from Akshay on 12/15)</t>
  </si>
  <si>
    <t>action_allowed in grading histories controller can be made more readable - consider separating the different checks applied into private methods, or add comments to say why those checks are required.
Please move Grading History to the Reviewer column
History should be listed in reverse order (latest 1st)
Entries in log should be made with after_filters.  Tests might have to be changed too.
Security check lets ANY instructor see anyone's grades.   They did try to fix it afterwards, but they fixed it with a DRY violation.</t>
  </si>
  <si>
    <t>This design doc does not really say much about how the proposed solution is implemented.  There are no references to the code.  The need tor a new grading_history_controller is not established.  It would be better to include references to the changed code on Github and describe the changes that were made.  Also, the screenshots should be smaller, so that one does not need to zoom way out.</t>
  </si>
  <si>
    <t>E1868</t>
  </si>
  <si>
    <t>rdange rvijaya4 skeerth ssaluja</t>
  </si>
  <si>
    <r>
      <rPr>
        <rFont val="Arial"/>
        <color rgb="FF000000"/>
        <sz val="10.0"/>
      </rPr>
      <t xml:space="preserve">http://wiki.expertiza.ncsu.edu/index.php/E1868_remove_reports_from_review_mapping_controller
</t>
    </r>
    <r>
      <rPr>
        <rFont val="Arial"/>
        <color rgb="FF1155CC"/>
        <sz val="10.0"/>
        <u/>
      </rPr>
      <t>https://github.com/expertiza/expertiza/pull/1307</t>
    </r>
    <r>
      <rPr>
        <rFont val="Arial"/>
        <color rgb="FF000000"/>
        <sz val="10.0"/>
      </rPr>
      <t xml:space="preserve">
https://www.youtube.com/watch?v=XTo0SDXR_Ag&amp;feature=youtu.be</t>
    </r>
  </si>
  <si>
    <t>I urged them to insert comments in several complicated places in the code.
They tried to factor out common code in tests for different review maps, but it was too complicated.
Could add a point or two if complicated parts of code were adequately commented.</t>
  </si>
  <si>
    <t>The work to be done is described well, and so is the test plan.  However the Implementation specfics contain only a list of reports to be created, and nothing about the structure of the code that creates them.  Reviewers gave this design doc high marks.</t>
  </si>
  <si>
    <t>E1867</t>
  </si>
  <si>
    <t>aagniho smadhur ckaidab snaramb</t>
  </si>
  <si>
    <r>
      <rPr>
        <rFont val="Arial"/>
        <color rgb="FF1155CC"/>
        <sz val="10.0"/>
        <u/>
      </rPr>
      <t>https://github.com/expertiza/expertiza/pull/1291</t>
    </r>
    <r>
      <rPr>
        <rFont val="Arial"/>
        <color rgb="FF000000"/>
        <sz val="10.0"/>
      </rPr>
      <t xml:space="preserve">
http://wiki.expertiza.ncsu.edu/index.php/E1867_allow_reviewer_to_say_review_can_be_shown_to_class_as_an_example
http://wiki.expertiza.ncsu.edu/index.php/Similar_assignments
https://www.youtube.com/watch?v=hiDavdVjIi8
</t>
    </r>
  </si>
  <si>
    <t>93 --&gt; 94 (change committed on Dec. 14, after demo)</t>
  </si>
  <si>
    <t>More comments needed in their code.
Not sure why similar_assignment_spec.rb is empty in their pull request. 
Too much code climatse issues (449). 
Rspec tests only covered edge cases.
The review report link lets the instructor see the reviews.  It lists ALL the assignments the instructor has ever had ... could come up with a better UI.
I wouldn't put a line between each sample review ... takes too much space in UI.  In fact, it could just be an unnumbered list, not a table.</t>
  </si>
  <si>
    <t>The wiki almost covers all the aspect of work done by them. The UML diagram they included is really good for reviewers to understand the functionalities they added. Many screenshots were used and some of them are inconveniently large.  The strings "Marked as sample" and "No more a sample" are not sufficiently descriptive.  "This review has been marked as a sample of good work" would be better.  The narration is generally good, but the code snippets are too large, and do not contain sufficient comments.  It would be better to link to them on Github, where there would be a multicolor view and a chance to add comments on the code.</t>
  </si>
  <si>
    <t>E1866</t>
  </si>
  <si>
    <t>hmukhta asaini4 jtgill rkarnam</t>
  </si>
  <si>
    <r>
      <rPr>
        <rFont val="Arial"/>
        <color rgb="FF000000"/>
        <sz val="10.0"/>
      </rPr>
      <t xml:space="preserve">http://wiki.expertiza.ncsu.edu/index.php/CSC/ECE_517_Fall_2018/E1866_Expertiza_Internationalization
https://github.com/mukhtar23/expertiza
https://youtu.be/TA9PkcK61QM
</t>
    </r>
    <r>
      <rPr>
        <rFont val="Arial"/>
        <color rgb="FF1155CC"/>
        <sz val="10.0"/>
        <u/>
      </rPr>
      <t>https://github.com/expertiza/expertiza/pull/1286</t>
    </r>
    <r>
      <rPr>
        <rFont val="Arial"/>
        <color rgb="FF000000"/>
        <sz val="10.0"/>
      </rPr>
      <t xml:space="preserve">
</t>
    </r>
  </si>
  <si>
    <t>- Allow Expertiza to support difference languages
- Currently changes static strings only, but is good enough for one final project
- Can choose between English and Hindi.
- We will merge your project.</t>
  </si>
  <si>
    <t xml:space="preserve">The design document does a good job of describing how the changes were implemented.  Perhaps in response to peer reviews, the team has added a good deal of graphical information describing internationalization.  There is a helpful section on future work. </t>
  </si>
  <si>
    <t>E1865</t>
  </si>
  <si>
    <t>sdhaval pddalwad kkancha cshinde</t>
  </si>
  <si>
    <r>
      <rPr>
        <rFont val="Arial"/>
        <color rgb="FF000000"/>
        <sz val="10.0"/>
      </rPr>
      <t xml:space="preserve">http://wiki.expertiza.ncsu.edu/index.php/CSC/ECE_517_Fall_2018-_Project_E1865._Conflict_Notification
</t>
    </r>
    <r>
      <rPr>
        <rFont val="Arial"/>
        <color rgb="FF1155CC"/>
        <sz val="10.0"/>
        <u/>
      </rPr>
      <t>https://github.com/expertiza/expertiza/pull/1329</t>
    </r>
    <r>
      <rPr>
        <rFont val="Arial"/>
        <color rgb="FF000000"/>
        <sz val="10.0"/>
      </rPr>
      <t xml:space="preserve">
https://drive.google.com/open?id=1Z8rqRxdmXJYbOZzoptmBLP0kM7Bdul2Q</t>
    </r>
  </si>
  <si>
    <t>There are many code climate issues (107) and they have not yet put back the check for development environment that the mailer should make. Also, their pull request includes code from a different project and in response.rb L207-209 they changed the url to localhost.</t>
  </si>
  <si>
    <t>The wiki page does a good job of describing the changes made.  However, the header, "Review for Mail check" is cryptic.  I don't know what it means, or how to get to it.  The text in some diagrams and code snippets is huge, which requires zooming way out to read it.  Also, the code snippets are not really described.  They do contain comments, but only one or two prose sentences describe what they do.</t>
  </si>
  <si>
    <t>E1864</t>
  </si>
  <si>
    <t>cnaiken rrajan3 zgao9 mgaonka</t>
  </si>
  <si>
    <r>
      <rPr>
        <rFont val="Arial"/>
        <color rgb="FF000000"/>
        <sz val="10.0"/>
      </rPr>
      <t xml:space="preserve">http://wiki.expertiza.ncsu.edu/index.php/CSC/ECE_517_Fall_2018_E1864:_Issues_related_to_Reviewing#Files_Modified
https://drive.google.com/file/d/1UXUq7fc-2rX5-h16uAYS70NXThgtkZ7M/view?usp=sharing
</t>
    </r>
    <r>
      <rPr>
        <rFont val="Arial"/>
        <color rgb="FF1155CC"/>
        <sz val="10.0"/>
        <u/>
      </rPr>
      <t>https://github.com/expertiza/expertiza/pull/1312#</t>
    </r>
    <r>
      <rPr>
        <rFont val="Arial"/>
        <color rgb="FF000000"/>
        <sz val="10.0"/>
      </rPr>
      <t xml:space="preserve">
https://github.com/Manjunath-gaonkar/expertiza
</t>
    </r>
  </si>
  <si>
    <t>Redo??</t>
  </si>
  <si>
    <t>Couldn’t reproduce #1093 or #1029.
Issue#1093 - Written Tests for testing whether the fix holds or not.
Issue#1097 - Missed the condition stated in doc and also reiterated during email that reviewer must be able to update the reviews only after team has resubmitted it. They completely misinterpreted!  It is supposed to be updatable only if the author has resubmitted! Indeed, the code changes are just to take out previous checks about whether reviewing is to be allowed
Issue#1029 - Written Tests for testing whether the fix holds or not.
Issue#972 -  Written tests to check whether the issue holds. 
Issue#1142 - Issue was fixed and performed manual tests to check if tests hold or not.
Good try by 1 team member on fixing #1079 on second attempt.</t>
  </si>
  <si>
    <t>The issues are nicely described, but unfortunately, the solutions are separated from the problems, forcing the reader who has not completely internalized all of the issues to flip back and forth to understand the changes.  And then the reader needs to go to a third section to read about the testing plan.  Also, merely showing code in monochrome is not very helpful; it could've been shown instead via links to Github diffs, where it would be obvious what changes had been made.</t>
  </si>
  <si>
    <t>E1863</t>
  </si>
  <si>
    <t>asony zmathew akpawar tgupta4</t>
  </si>
  <si>
    <r>
      <rPr>
        <rFont val="Arial"/>
        <color rgb="FF000000"/>
        <sz val="10.0"/>
      </rPr>
      <t xml:space="preserve">http://wiki.expertiza.ncsu.edu/index.php/E1863_Issues_related_to_assignment_creation
</t>
    </r>
    <r>
      <rPr>
        <rFont val="Arial"/>
        <color rgb="FF1155CC"/>
        <sz val="10.0"/>
        <u/>
      </rPr>
      <t>https://github.com/expertiza/expertiza/pull/1328</t>
    </r>
    <r>
      <rPr>
        <rFont val="Arial"/>
        <color rgb="FF000000"/>
        <sz val="10.0"/>
      </rPr>
      <t xml:space="preserve">
https://github.com/expertiza/expertiza/pull/1324
https://github.com/expertiza/expertiza/pull/1320
https://github.com/expertiza/expertiza/pull/1323
</t>
    </r>
  </si>
  <si>
    <t xml:space="preserve">Issue#1008: They have fixed this issue perfectly and it is working right now.
Issue#1017: TA can create and Instructor delete it and not the vice versa. However, fix still holds. Now, a TA can create an assgt. &amp; instructor can delete it, but not vice versa.  (I think it should be vice versa too.)
Issue#1065: New assignment has all the previous rubrics as expected.
Issue#1072: Issue was already fixed but the team has performed a great fix to make it visible on the UI. Removes undo functionality from adding participants.  Other changes to code confuse users and participants.
Issue#308: Issue is fixed and working properly.
One of the best teams that I have mentored this semester. The team was very attentive and they took initiatives. They managed their time properly and finished the given task in timeframe. One of the methods contains a very complicated conditional statement that should be simplified. Only 308 &amp; 1065  had tests.
</t>
  </si>
  <si>
    <t>Very good, methodical, description of changes made.  Two weaknesses: The meaning of yellow &amp; green highlighting was not defined.  Green is evidently for code added, but what does yellow mean (evidently not deleted).  Second, as the reviewers suggested, there was room for more automated testing, at the very least, describing how existing tests validated your work.</t>
  </si>
  <si>
    <t>E1862</t>
  </si>
  <si>
    <t>Redo?</t>
  </si>
  <si>
    <t>E1861</t>
  </si>
  <si>
    <t>gworah vmaskhu ssharm34 arangar2</t>
  </si>
  <si>
    <r>
      <rPr>
        <rFont val="Arial"/>
        <color rgb="FF000000"/>
        <sz val="10.0"/>
      </rPr>
      <t xml:space="preserve">http://wiki.expertiza.ncsu.edu/index.php/CSC/ECE_517_Fall_2018-_Project_E1861._Improving_search_facility_in_Expertiza
</t>
    </r>
    <r>
      <rPr>
        <rFont val="Arial"/>
        <color rgb="FF1155CC"/>
        <sz val="10.0"/>
        <u/>
      </rPr>
      <t>https://github.com/expertiza/expertiza/pull/1306</t>
    </r>
    <r>
      <rPr>
        <rFont val="Arial"/>
        <color rgb="FF000000"/>
        <sz val="10.0"/>
      </rPr>
      <t xml:space="preserve">
https://drive.google.com/drive/folders/1Y6EQtekzmWgaI5jIhzenUmRGoUDERvUx?usp=sharing</t>
    </r>
  </si>
  <si>
    <t>Shows various kinds of searches in different videos
Questionnaire searches
User searches: can search by name or e-mail ID.
Assignment search: I wonder if it’s good to have the text overwrite the field name if there are several closely related field names: after you insert the value, you might forget what the field signifies.
For searching dates, there is a tooltip saying what is what.  But the boxes are too big.
  Vato demonstrates that on his laptop, they are a reasonable size, and displayed horizontally.
For questionnaires, the same issue arises.
Lots of whitespace changes in committed files
Evidently no way to search for rubrics, etc, that have been used in a single course.  Should have consulted with mentor on what kind of searches would have been useful.
They are not using any gem, because there was already a search fct.
I can't follow what they did to the code.
Is any sanitization done on text passed to db? 
Design doc needs to explain why they structured text the way that they did.</t>
  </si>
  <si>
    <t>This document describes the project in several relevant ways: discussion of the design approach, usecase diagram, classes and methods changed, changes to database schema, and test plan.  Each one of those is described in reasonable detail.  There are no major weaknesses.</t>
  </si>
  <si>
    <t>E1860</t>
  </si>
  <si>
    <t>hagrawa2 amohan7 palexis mkhan8</t>
  </si>
  <si>
    <t xml:space="preserve">http://wiki.expertiza.ncsu.edu/index.php/CSC/ECE_517_Fall_2018/E1860_Improvements_to_staggered_deadline
https://github.com/expertiza/expertiza/pull/1314
https://youtu.be/frXYMirEq9g
</t>
  </si>
  <si>
    <t>Removed the sign-up-someone-else checkmark from student’s version of the signup sheet.
But the student does have a check mark to click for open topics.
Also fills in due dates after the 1st one by copying the increments for the assignment due dates.
Shows color-coding of reviews, which have been submitted &amp; which have been graded.  Current color-coding is good, so they left it.
Fairly good video, but how about reopening old topics, can it do that?
The method that calculates due-date offsets is a little long.
can_signup_someone --&gt; can_sign_someone_up [Done]
Long code sequences in design doc should be replaced with prose explanations.</t>
  </si>
  <si>
    <t>This document does a very good job of describing the project.  The rationale for all changes is described, and flowcharts as well as screenshots are shown.  One weakness is that large blocks of code are shown in black and white; it would've been so much better to link to the corresponding diffs in Github.  But the code is nonetheless clear, as it is well commented.  It would also have helped to have a few more comments in the automated test plan, describing what mocks were created and why.</t>
  </si>
  <si>
    <t>E1859</t>
  </si>
  <si>
    <t>ntripat jbcolli8 rshakya wwang332</t>
  </si>
  <si>
    <r>
      <rPr>
        <rFont val="Arial"/>
        <color rgb="FF000000"/>
        <sz val="10.0"/>
      </rPr>
      <t xml:space="preserve">http://wiki.expertiza.ncsu.edu/index.php/E1859_Visualizations_for_Instructors
</t>
    </r>
    <r>
      <rPr>
        <rFont val="Arial"/>
        <color rgb="FF1155CC"/>
        <sz val="10.0"/>
        <u/>
      </rPr>
      <t>https://github.com/expertiza/expertiza/pull/1303</t>
    </r>
    <r>
      <rPr>
        <rFont val="Arial"/>
        <color rgb="FF000000"/>
        <sz val="10.0"/>
      </rPr>
      <t xml:space="preserve">
https://www.youtube.com/watch?v=EztA5JB-1vY&amp;feature=youtu.be
</t>
    </r>
  </si>
  <si>
    <t>The code appears to have some DRY problems. The assign_chart_data method in the grades controller uses too many instance variables - might have been better to use fewer objects and group them as key-value pairs. The use of `find_by_sql` in the  grades controller does not seem appropriate - active record must be used instead.</t>
  </si>
  <si>
    <t>The documentation seems to show an outdated version of the screen that selects criteria to be shown.  The code has just been pasted in; there should be a description, and it would've been much better to give a link to Github, where the changes could be seen.  Some reviewers said that tests were not covered, but that deficiency has been fixed in the final version.  Would've liked to have seen some description of what the test does, however.</t>
  </si>
  <si>
    <t>E1858</t>
  </si>
  <si>
    <t>tdahibh sbhoyar sddhyade dcbharma</t>
  </si>
  <si>
    <t xml:space="preserve">http://wiki.expertiza.ncsu.edu/index.php/CSC/ECE_517_Fall_2018-_Project_E1858._Github_metrics_integration
https://github.com/expertiza/expertiza/pull/1293
http://152.46.16.237:8080/
https://youtu.be/h8egulVEB78
</t>
  </si>
  <si>
    <t>They have integrated the github metrics into expertiza to show the number of commits, pull requests status, etc against every project. They have also integrated it into the metrics.  Looks like they covered the edge cases. The code looks good but needs comments as it is pretty complex. The documentation feels like it is flooded with code, if there was description of the changes, it would have been better.
Extensive tests, but it might be good to see if additions to existing tests really belong in those same tests.</t>
  </si>
  <si>
    <t>The document contains quite a good discussion of the problem to be solved and the tradeoffs made in solving it.  It shows the visualizations that were implemented.  The weak part is that the code is simply pasted in with no explanation.  No one is going to read the code in this format.  They will look at it on Github.  It would have been much better just to include a link to a diff in Github.  Also, the code shown has a complete lack of comments, which is unconscionable.</t>
  </si>
  <si>
    <t>E1857</t>
  </si>
  <si>
    <t>E1856</t>
  </si>
  <si>
    <t>sjrappl wkuang2 cyuan7 wwang33</t>
  </si>
  <si>
    <r>
      <rPr>
        <rFont val="Arial"/>
        <color rgb="FF000000"/>
        <sz val="10.0"/>
      </rPr>
      <t xml:space="preserve">http://wiki.expertiza.ncsu.edu/index.php/CSC/ECE_517_Fall_2018/E1856_Allow_reviewers_to_bid_on_what_to_review
https://github.com/expertiza/expertiza/pull/1322
https://github.com/Riounis/IntelligentAssignment
</t>
    </r>
    <r>
      <rPr>
        <rFont val="Arial"/>
        <color rgb="FF1155CC"/>
        <sz val="10.0"/>
        <u/>
      </rPr>
      <t>https://github.com/peerlogic/IntelligentAssignment/pull/2</t>
    </r>
    <r>
      <rPr>
        <rFont val="Arial"/>
        <color rgb="FF000000"/>
        <sz val="10.0"/>
      </rPr>
      <t xml:space="preserve">
https://github.com/kuangwanjing/expertiza
https://youtu.be/2neE2gL3rv0
</t>
    </r>
  </si>
  <si>
    <t>The header for signup sheet is bigger than the main header on the page. There is another button to run the assgt. algorithm.
From what is shown, I am skeptical that this really works. The video demonstration could have been more extensive. The changes to tree_display.jsx seem unreasonable ~ contributed the most to the over 1600 additions in the pull request. Also lots of whitespace changes &amp; ReactJS methods that were moved around only in the tree_display.jsx file.</t>
  </si>
  <si>
    <t>This document describes the strategy in a good deal of detail.  Most of it is clear, but there are some exceptions, e.g., "Slots can be left unoccupied if no team is willing to response. However, every response needs to have at least some reviewers."  The code changes are not described, though models, views, and conroller are listed.  The Models section precedes Workflows, but really, both sections talk about workflows.  Revised titles would be better.  Testing is not described, as noted by practically all reviewers.</t>
  </si>
  <si>
    <t>E1855</t>
  </si>
  <si>
    <t>hshah3 rkovilk pgupta24 rmdcosta</t>
  </si>
  <si>
    <r>
      <rPr>
        <rFont val="Arial"/>
        <color rgb="FF000000"/>
        <sz val="10.0"/>
      </rPr>
      <t xml:space="preserve">http://wiki.expertiza.ncsu.edu/index.php/CSC/ECE_517_Fall_2018/E1855_let_course_staff_as_well_as_students_do_reviews
https://www.youtube.com/watch?v=WcEflBT9nSg
</t>
    </r>
    <r>
      <rPr>
        <rFont val="Arial"/>
        <color rgb="FF1155CC"/>
        <sz val="10.0"/>
        <u/>
      </rPr>
      <t>https://www.youtube.com/watch?v=3PJAYU9b81g</t>
    </r>
  </si>
  <si>
    <t>Too many pieces of the code have to know about instructor review.  Poor on separation of concerns.
They added a 'course_staff' column in 'response_maps' table. I am not sure the column name is suitable. Travis CI is not pass. There is no way to disable course staff peer review. There are 55 code climate issues. And their code has indentation issues, which makes their code difficult to read.</t>
  </si>
  <si>
    <t>Generally a good job of documenting the work.  Readable description.  I question whether describing the modifications in terms of files modified is the best organization.  The test plan is well defined, but could be more readable in a variable-width font.</t>
  </si>
  <si>
    <t>E1854</t>
  </si>
  <si>
    <t>ovbarve sghanta ssankar9 amishra6</t>
  </si>
  <si>
    <r>
      <rPr>
        <rFont val="Arial"/>
        <color rgb="FF000000"/>
        <sz val="10.0"/>
      </rPr>
      <t xml:space="preserve">http://wiki.expertiza.ncsu.edu/index.php/CSC/ECE_517_Fall_2018_E1854_Improve_self-review,_Link_peer_review_%26_self-review_to_derive_grades
</t>
    </r>
    <r>
      <rPr>
        <rFont val="Arial"/>
        <color rgb="FF1155CC"/>
        <sz val="10.0"/>
        <u/>
      </rPr>
      <t>https://github.com/expertiza/expertiza/pull/1326</t>
    </r>
    <r>
      <rPr>
        <rFont val="Arial"/>
        <color rgb="FF000000"/>
        <sz val="10.0"/>
      </rPr>
      <t xml:space="preserve">
https://www.youtube.com/watch?v=TBStYgnWiUI&amp;feature=youtu.be
</t>
    </r>
  </si>
  <si>
    <t>Adding Self-Review Feature: They performed this feature.
Adding The Score in Views: Again this feature was implemented and used very simple yet useful UI. However, I didn’t like the light-blue bkgrd.
Calculate Composite Score: Used very nice formula, there are still room for improvement. With a 100 term instead of 10, the variation in the scores from self-review is not much.  10 allows you to set peer reviews &amp; self-reviews out of 5. (Interesting issue.)
Instructor's View: They were able to show the peer review score on instructor view as well. We couldn't use the project until there's a way to apply the correction for self-review automatically to grades assigned by instructor.
It is checking whether it is selfreview_enabled in too many places.
This code could easily have been automatically tested but was not.</t>
  </si>
  <si>
    <t>The document describes the method and gives an example, but does not tell how the grading formula was derived.  Has it ever been used anywhere before?  Also, while the document mentions the files that were modified, it does not describe how the code was changed.  The screenshots are very useful in being able to see the functionality that was added.  The test plan is not well developed, as noted by several reviewers.</t>
  </si>
  <si>
    <t>2018 Fall OSS</t>
  </si>
  <si>
    <t>E1853.1</t>
  </si>
  <si>
    <t>adhaval hmukhta mzhuang</t>
  </si>
  <si>
    <t>https://expertiza.csc.ncsu.edu/index.php/E1853_Menu_Model_Testing</t>
  </si>
  <si>
    <t>Path coverage: 100%, MSI &gt; 60%
TravisCI pass.
Expertiza-bot rules violations:
 - You should commit changes to the DB schema (`db/schema.rb`) only if you have created new DB migrations. Please double check your code. If you did not aim to change the DB, please revert the DB schema changes.
 - Using `create` in unit tests or integration tests may be overkill. Try to use `build` or `double` instead.
No code climate issue.</t>
  </si>
  <si>
    <t>Using a fixed-width font forces the columns to be pretty wide to read them, which hampers readability, and you never listed or grouped the tests that you wrote.  But other than that, this an excellent and reable explanation of the work you performed.</t>
  </si>
  <si>
    <t>E1853.2</t>
  </si>
  <si>
    <t>bbryson kmkangut</t>
  </si>
  <si>
    <r>
      <rPr>
        <rFont val="Arial"/>
        <sz val="10.0"/>
      </rPr>
      <t xml:space="preserve">https://www.youtube.com/watch?v=yB_E5OORja0
https://github.com/BarrettJB/expertiza
</t>
    </r>
    <r>
      <rPr>
        <rFont val="Arial"/>
        <color rgb="FF1155CC"/>
        <sz val="10.0"/>
        <u/>
      </rPr>
      <t>http://wiki.expertiza.ncsu.edu/index.php/CSC/ECE_517_Fall_2018/E1853_Write_unit_tests_for_menu.rb</t>
    </r>
    <r>
      <rPr>
        <rFont val="Arial"/>
        <sz val="10.0"/>
      </rPr>
      <t xml:space="preserve">
</t>
    </r>
    <r>
      <rPr>
        <rFont val="Arial"/>
        <color rgb="FF1155CC"/>
        <sz val="10.0"/>
        <u/>
      </rPr>
      <t>https://github.com/expertiza/expertiza/pull/1223</t>
    </r>
    <r>
      <rPr>
        <rFont val="Arial"/>
        <sz val="10.0"/>
      </rPr>
      <t xml:space="preserve">
</t>
    </r>
  </si>
  <si>
    <t>Path coverage: 100%, MSI &gt; 60%
TravisCI failed because of your modifications of spec_helper.rb (you set a timeout of 5 seconds).
Expertiza-bot rules violations:
 - You should not change `rails_helper.rb` or `spec_helper.rb` file; please revert these changes.
 - You committed text files (`*.txt` or `*.csv`); please double-check whether this is necessary.
No code climate issue.</t>
  </si>
  <si>
    <t>I'm glad that you broke up the tests into two groups, but even 12 and 17 are pretty long lists, that would have been good to subdivide. It also seems that it would have been helpful to include or link to the code for more than two tests, though I will agree that you picked good examples.  Overall, I thnk you did a very good job of explaning what you did and how you did it.</t>
  </si>
  <si>
    <t>E1853.3</t>
  </si>
  <si>
    <t>ssankar9 jfgiall2 vmaskhu</t>
  </si>
  <si>
    <t>https://expertiza.csc.ncsu.edu/index.php/E1853_write_unit_tests_for_menu</t>
  </si>
  <si>
    <t>Path coverage: 94.12%, MSI &gt; 60%
Test pass.
Expertiza-bot rules violations:
 - You are including debug code in your pull request, please remove it.
 - You should commit changes to the DB schema (`db/schema.rb`) only if you have created new DB migrations. Please double check your code. If you did not aim to change the DB, please revert the DB schema changes.
64 code climate issues!</t>
  </si>
  <si>
    <t>Some of the tests are described very well, explaining what they test and what the outcomes are.  Other tests have little description.  Tests like the one for topic_name are long, so the various steps should be explained.</t>
  </si>
  <si>
    <t>E1852.1</t>
  </si>
  <si>
    <t xml:space="preserve">rshakya snaramb tgupta4
</t>
  </si>
  <si>
    <t>https://expertiza.csc.ncsu.edu/index.php/CSC/ECE_517_Fall_2018/E1852_Unit_Test_for_Participant_Model</t>
  </si>
  <si>
    <t>E1852.2</t>
  </si>
  <si>
    <t xml:space="preserve">yzhao47 xji7 zhan23 </t>
  </si>
  <si>
    <t>https://expertiza.csc.ncsu.edu/index.php/CSC/ECE_517_Fall_2018_-_Project_E1852_Write_unit_tests_for_participant.rb</t>
  </si>
  <si>
    <t>Path coverage: 100%, MSI &gt; 60%
Test pass.
Expertiza-bot rules violations:
 - You modified `vendor` folder, please double-check whether it is necessary.
Two code climate issues.</t>
  </si>
  <si>
    <t>Would have been helpful to describe why those mock instances were created (why 2 participants, for example).  The individual get_permission and get_authorization contexts should be explained.  Otherwise, the descriptions are quite good.</t>
  </si>
  <si>
    <t>E1852.3</t>
  </si>
  <si>
    <t>cnaiken mgaonka zgao9</t>
  </si>
  <si>
    <t>https://expertiza.csc.ncsu.edu/index.php/OSS_E1852.rb</t>
  </si>
  <si>
    <t>Path coverage: 100%, MSI &gt; 60%
Test pass.
Expertiza-bot rules violations:
 - You should commit changes to the DB schema (`db/schema.rb`) only if you have created new DB migrations. Please double check your code. If you did not aim to change the DB, please revert the DB schema changes.
Three code climate issues.</t>
  </si>
  <si>
    <t>Excellent motivation of the tests, and good descriptions of what they return.  However, you did miss one place:  The Variables section contains a long list of objects.  It should be explained why those objects are needed.</t>
  </si>
  <si>
    <t>E1851</t>
  </si>
  <si>
    <t>E1850.1</t>
  </si>
  <si>
    <t>ytian22 cyuan7 kzhao2</t>
  </si>
  <si>
    <r>
      <rPr>
        <rFont val="Arial"/>
        <sz val="10.0"/>
      </rPr>
      <t xml:space="preserve">- https://github.com/zhaoke2018/expertiza
http://wiki.expertiza.ncsu.edu/index.php/CSC/ECE_517_Fall_2018/E1850._Write_unit_tests_for_review_response_map.rb
- https://drive.google.com/file/d/1dFZ_dFN-tGvuCLEElAf9lc6LjhFNXtSr/view?usp=sharing
- </t>
    </r>
    <r>
      <rPr>
        <rFont val="Arial"/>
        <color rgb="FF1155CC"/>
        <sz val="10.0"/>
        <u/>
      </rPr>
      <t>https://github.com/expertiza/expertiza/pull/1277</t>
    </r>
  </si>
  <si>
    <t>Yes for E1850.2</t>
  </si>
  <si>
    <t>98 / 93+2 / 97</t>
  </si>
  <si>
    <t>91 / 75 / 88</t>
  </si>
  <si>
    <t>Path coverage: 100%, MSI &gt; 60%
TravisCI pass.
Expertiza-bot rules violations:
 - Your pull request has many duplicated commit messages. Please try to `squash` similar commits.
And using meaningful commit messages later.
No code climate issue.</t>
  </si>
  <si>
    <t>Some of the tests are not described at all (there's just a bullet that says, "Source code").  Long tests (e.g., final_versions_from_reviewer) should have some prose describing the various steps in the test. Also, the outcomes should be described (why they pass or fail). It would also be good to motivate why the tests are listed in the order that they are.</t>
  </si>
  <si>
    <t>E1850.2</t>
  </si>
  <si>
    <t>hfan4 pchen23 yyang53</t>
  </si>
  <si>
    <r>
      <rPr>
        <rFont val="Arial"/>
        <sz val="10.0"/>
      </rPr>
      <t xml:space="preserve">http://wiki.expertiza.ncsu.edu/index.php/E1850._Write_unit_tests_for_review_response_map.rb_team100
- https://github.com/expertiza/expertiza/pull/1275
- </t>
    </r>
    <r>
      <rPr>
        <rFont val="Arial"/>
        <color rgb="FF1155CC"/>
        <sz val="10.0"/>
        <u/>
      </rPr>
      <t>https://drive.google.com/file/d/18vr3q2dCyh3_tsFLH8w9y6Y9uhdz0Ljj/view?usp=sharing</t>
    </r>
  </si>
  <si>
    <t>Path coverage: 100%, MSI &gt; 60%
TravisCI pass.
No validation of Expertiza-bot rules.
Seven code climate issues.</t>
  </si>
  <si>
    <t>The "necessary instances" built at the beginning should be described.  For the other tests, their outcomes should be described (why they pass or fail).  It would also be good to motivate why the tests are listed in the order that they are.</t>
  </si>
  <si>
    <t>E1850.3</t>
  </si>
  <si>
    <t>ssaluja rmdcosta pmishra</t>
  </si>
  <si>
    <t>- https://github.com/expertiza/expertiza/pull/1232
- https://en.wikipedia.org/wiki/Draft:CSC_517_review_response_map
- https://mail.google.com/mail/u/0/?ui=2&amp;view=btop&amp;ver=19i75lufxa199#attid%253Datt_167073fdba999c8c_0.1_f_joe3picv0</t>
  </si>
  <si>
    <t>Path coverage: 100%, MSI &gt; 60%
TravisCI pass.</t>
  </si>
  <si>
    <t>In the Test Plan, you should explain why you created the various stubs, instead of just listing them.  The rest of the document just lists the tests, with the exception of why you used RSpec, which could apply to any of the testing projects.</t>
  </si>
  <si>
    <t>E1849</t>
  </si>
  <si>
    <r>
      <rPr>
        <rFont val="Arial"/>
        <sz val="10.0"/>
      </rPr>
      <t xml:space="preserve">http://wiki.expertiza.ncsu.edu/index.php/CSC/ECE_517_Fall_2018/E1849_Write_Unit_Tests_for_vm_question_response.rb
https://github.com/mfleader42/expertiza/blob/master/spec/models/vm_question_response_spec.rb
</t>
    </r>
    <r>
      <rPr>
        <rFont val="Arial"/>
        <color rgb="FF1155CC"/>
        <sz val="10.0"/>
        <u/>
      </rPr>
      <t>https://github.com/expertiza/expertiza/pull/1238</t>
    </r>
    <r>
      <rPr>
        <rFont val="Arial"/>
        <sz val="10.0"/>
      </rPr>
      <t xml:space="preserve">
https://youtu.be/yDfhSqVOoOk
</t>
    </r>
  </si>
  <si>
    <t>Partially</t>
  </si>
  <si>
    <t>"Path coverage: 97.25%, MSI &gt; 60%
TravisCI pass.
Expertiza-bot rules violations:
 - You should commit changes to the DB schema (`db/schema.rb`) only if you have created new DB migrations. Please double check your code. If you did not aim to change the DB, please revert the DB schema changes..
 - Using `create` in unit tests or integration tests may be overkill. Try to use `build` or `double` instead.
82 code climate issues!"</t>
  </si>
  <si>
    <t>What is here is good, but I think it should be enhanced by describing under what conditions tests succeed or fail, and for long tests (e.g., add_reviews) the general structure and funcion of each context should be described.</t>
  </si>
  <si>
    <t>E1848.1</t>
  </si>
  <si>
    <t xml:space="preserve">jzhang97 wwu24 wkuang2
</t>
  </si>
  <si>
    <r>
      <rPr>
        <rFont val="Arial"/>
        <sz val="10.0"/>
      </rPr>
      <t xml:space="preserve">
https://github.com/RoyGod3/expertiza/blob/master/spec/models/assignment_team_spec.rb</t>
    </r>
    <r>
      <rPr>
        <rFont val="Arial"/>
        <color rgb="FF000000"/>
        <sz val="10.0"/>
      </rPr>
      <t xml:space="preserve">
</t>
    </r>
    <r>
      <rPr>
        <rFont val="Arial"/>
        <color rgb="FF1155CC"/>
        <sz val="10.0"/>
        <u/>
      </rPr>
      <t>http://wiki.expertiza.ncsu.edu/index.php/E1848_Write_unit_tests_for_assignment_team</t>
    </r>
    <r>
      <rPr>
        <rFont val="Arial"/>
        <sz val="10.0"/>
      </rPr>
      <t xml:space="preserve"> 
</t>
    </r>
  </si>
  <si>
    <t>Yes for E1848.3</t>
  </si>
  <si>
    <t>Path coverage: 92.91%, MSI &gt; 60%
TravisCI pass.
Expertiza-bot rules violations:
 - Your pull request has many duplicated commit messages. Please try to `squash` similar commits.
And using meaningful commit messages later.
 - You do not need to commit text files (`*.txt` or `*.csv`).
No code climate issue.</t>
  </si>
  <si>
    <t>The test plan simply lists 18 tests.  It would have been very heplful to separate them into groups and describe the motivation for each group.  It's hard to remember 18 items that are not connected to each other.  The rest of the documentation mostly copies the test code, with a one-line description of each test.  It would be better if the reason for the test was explained, along with what condition the test will succeed (or fail) on.</t>
  </si>
  <si>
    <t>E1848.2</t>
  </si>
  <si>
    <t>jli94 gli22 wwang33</t>
  </si>
  <si>
    <t>https://github.com/expertiza/expertiza/pull/1273https://github.com/expertiza/expertiza/pull/1265 https://drive.google.com/file/d/1VszhBbYttIppyoom1YcD1ceHMYQ0nVAo/view?usp=sharing
http://wiki.expertiza.ncsu.edu/index.php/CSC/ECE_517_Fall_2018/OSS_E1848_Write_unit_tests_for_assignment_team.rb</t>
  </si>
  <si>
    <t>Path coverage: 100%, MSI &gt; 60%
TravisCI pass.
No validation of Expertiza-bot rules.
One code climate issue.</t>
  </si>
  <si>
    <t>The beginning of this document is quite readable.  The description of the "Help Method" should be expanded to explain why these objects are being created.  Later on, the prose description of test cases could be expanded to explain how the tests are being carried out.  It seems like the team may have run out of time, after starting very strong.</t>
  </si>
  <si>
    <t>E1848.3</t>
  </si>
  <si>
    <t>kaacken2 irohatg tdahibh</t>
  </si>
  <si>
    <t>https://github.com/expertiza/expertiza/pull/1228
http://wiki.expertiza.ncsu.edu/index.php/CSC/ECE_517_Fall_2018-_Project_E1848:_Writing_unit_tests_for_assignment_team.rb</t>
  </si>
  <si>
    <t>Path coverage: 100%, MSI &gt; 60%
TravisCI pass.
No validation of Expertiza-bot rules.
No code climate issue.</t>
  </si>
  <si>
    <t>Description of mosts tests is very good. However, it's still a long list, and it would have been good if the tests were grouped, to bring some order to the description.  The scores(questions) test could be described in more detail by saying what objects are being created and why.</t>
  </si>
  <si>
    <t>E1846</t>
  </si>
  <si>
    <t>pddalwad ssharm34 vshah</t>
  </si>
  <si>
    <r>
      <rPr>
        <rFont val="Arial"/>
        <sz val="10.0"/>
      </rPr>
      <t xml:space="preserve">https://github.com/varun196/expertiza
</t>
    </r>
    <r>
      <rPr>
        <rFont val="Arial"/>
        <color rgb="FF1155CC"/>
        <sz val="10.0"/>
        <u/>
      </rPr>
      <t>https://github.com/expertiza/expertiza/pull/1225</t>
    </r>
    <r>
      <rPr>
        <rFont val="Arial"/>
        <sz val="10.0"/>
      </rPr>
      <t xml:space="preserve">
http://wiki.expertiza.ncsu.edu/index.php/CSC/ECE_517_Fall_2018-_Project_E1846._OSS_Project_Navy:_Character_Issues
https://youtu.be/PMe-jgLZw3w
https://youtu.be/cT9Tju-_fY4
https://youtu.be/R_lMT5bXHEk</t>
    </r>
  </si>
  <si>
    <t xml:space="preserve">Most reviewers think the code was well written and the test cases were adequate.
It feels like they've identified the root location where utf8 characters were causing issues and fixed it there. 
There are some code climate issues. </t>
  </si>
  <si>
    <t>Most reviewers think the writeup was good.
The document is well-structured. The issues to be fixed, the approach and the test plan have all been clearly mentioned. Links to videos are also included.</t>
  </si>
  <si>
    <t>E1845</t>
  </si>
  <si>
    <t>jbcolli8 ovbarve arangar2</t>
  </si>
  <si>
    <r>
      <rPr>
        <rFont val="Arial"/>
        <color rgb="FF1155CC"/>
        <sz val="10.0"/>
        <u/>
      </rPr>
      <t>https://github.com/expertiza/expertiza/pull/1257</t>
    </r>
    <r>
      <rPr>
        <rFont val="Arial"/>
        <sz val="10.0"/>
      </rPr>
      <t xml:space="preserve">
http://wiki.expertiza.ncsu.edu/index.php/E1845_Issues_Related_to_Security
http://152.46.16.166:8080
</t>
    </r>
  </si>
  <si>
    <t>The code is clean and well written but does not contain comments and there're a few code climate issues. Some commits can be "combined". In admin_controller_spec.rb, some built objects are not used and can be removed. The team has fixed the first assigned issue and that was reflected on their deplyed site. For the second issue, they identified the problem with bid model when deleting a power user and fixed it, but on the deployed site deleting some instructors still not work due to foregin key constraint, but deleting an admin does work.</t>
  </si>
  <si>
    <t>The write-up is short but precise. it has pretty much everything needed for understanding the issues and what they have done. It will be  better if they could show the code for test and include some UI screenshot. Also, they wrote their implemented solutions in "Changes" and even in "Background" and it would be easier for reviewers to find them if they are seperated in a new subsection.</t>
  </si>
  <si>
    <t>E1844</t>
  </si>
  <si>
    <t>asakhuj ntripat sddhyade</t>
  </si>
  <si>
    <t>https://github.com/expertiza/expertiza/pull/1259
https://github.com/shraddha-dhyade/expertiza/tree/982_validation_username
https://github.com/expertiza/expertiza/pull/1261
https://github.com/shraddha-dhyade/expertiza/tree/842_standardizing_team_names
http://152.46.17.167:8080/
http://wiki.expertiza.ncsu.edu/index.php/E1844_Issues_related_to_names</t>
  </si>
  <si>
    <t>One reviewer has commented saying that he / she was able to create a username with spaces, despite the code appearing adequate.
They have created separate pull requests for both issues, making it easier to analyze and merge. Code looks clean.
One reviewer comments that using `TeamName_randomNumber` may lead to conflicts. Need to verify that uniqueness is maintained before merging.</t>
  </si>
  <si>
    <t>Most reviewers think the writeup is great. It has been structured very well and clearly explains what was done. The only issue I can see is that they have used images to display code instead of code snippets.One reviewer comments that the screenshot could have been of a 'standard' size.</t>
  </si>
  <si>
    <t>E1843</t>
  </si>
  <si>
    <t>jhmadhwa cshinde hshah3</t>
  </si>
  <si>
    <r>
      <rPr>
        <rFont val="Arial"/>
        <color rgb="FF1155CC"/>
        <sz val="10.0"/>
        <u/>
      </rPr>
      <t>https://github.com/expertiza/expertiza/pull/1270</t>
    </r>
    <r>
      <rPr>
        <rFont val="Arial"/>
        <sz val="10.0"/>
      </rPr>
      <t xml:space="preserve">
https://drive.google.com/open?id=1jUwbeeiI2KaIH3l0C7FD0QHgBL6PVwF1
http://wiki.expertiza.ncsu.edu/index.php/E1843_Issues_Related_To_Deadlines
</t>
    </r>
  </si>
  <si>
    <t>More comments needed.  Magic constants for deadline types!  Code in signup_sheet_controller for testing for assignments.staggered_deadline? is duplicated.  Several debug print statements have been left in code.  self.get_due_date_data is not a very clear name for a method.  No tests added, and existing tests are failing.
You are including debug code in your pull request, please remove it.
You should commit changes to the DB schema (`db/schema.rb`) only if you have created new DB migrations. Please double check your code. If you did not aim to change the DB, please revert the DB schema changes.</t>
  </si>
  <si>
    <t>Good description of the work to be done, but I think that the code snippets need to be accompanied by an explanation of what they are doing..  In this document they are just pasted in, with no comments.</t>
  </si>
  <si>
    <t>E1842</t>
  </si>
  <si>
    <t>aagniho smadhur ckaidab</t>
  </si>
  <si>
    <r>
      <rPr>
        <rFont val="Arial"/>
        <color rgb="FF1155CC"/>
        <sz val="10.0"/>
        <u/>
      </rPr>
      <t>http://github.com/expertiza/expertiza/pull/1250</t>
    </r>
    <r>
      <rPr>
        <rFont val="Arial"/>
        <sz val="10.0"/>
      </rPr>
      <t xml:space="preserve">
http://wiki.expertiza.ncsu.edu/index.php/E1842_Issues_Related_To_Participants
</t>
    </r>
  </si>
  <si>
    <t>Their code looks clean, there are only a few code climate issues. Their build doesn't pass but it seems a recent change in master led to that. I know that they have tested a lot of edge cases. The screencast video shows the implementation</t>
  </si>
  <si>
    <t>The wiki document is detailed. It would have been helpful if they explained how they have used the variable related to impersonation and an overall view of how they solved this problem.I wish they had added screenshots while explaining how they fixed the issues. The format of the document is not very intuitive.</t>
  </si>
  <si>
    <t>E1841</t>
  </si>
  <si>
    <t>gworah sbhoyar akpawar</t>
  </si>
  <si>
    <r>
      <rPr>
        <rFont val="Arial"/>
        <color rgb="FF1155CC"/>
        <sz val="10.0"/>
        <u/>
      </rPr>
      <t>https://github.com/expertiza/expertiza/pull/1276</t>
    </r>
    <r>
      <rPr>
        <rFont val="Arial"/>
        <sz val="10.0"/>
      </rPr>
      <t xml:space="preserve">
http://wiki.expertiza.ncsu.edu/index.php?title=CSC/ECE_517_Fall_2018/E1841_Issues_Related_to_Rubrics&amp;oldid=118740
https://github.com/ObjectiveSpy08/expertiza</t>
    </r>
  </si>
  <si>
    <t>Code seems to be well written, except few minute code climate issues. However, team has completed only 2 issues out of 3 assigned. Also, they have not provided deployed application link so can't test the functionality. Their video shows that the issues have been resolved. They have not written any automated tests, as a result test coverage goes down. My biggest concern is TravisCI tests are failing. The thing to note here is, only one person in the team has worked. I experienced this during the meetings as well.</t>
  </si>
  <si>
    <t>The description of changes is rather hard to follow, because descriptions of changes do not point out where in the code the change was made.  One has to read the prose, then study the code.  One way of showing the correspondence better would be to link to particular Github commits using the diff view where it would be easy to see what code was changed.  It could also be done by referring to methods and/or line numbers in the displayed code. They have added all screenshots at the end of the document. It would have been better if they would have added the screenshots while describing the particular issue.</t>
  </si>
  <si>
    <t>E1840</t>
  </si>
  <si>
    <t>E1839</t>
  </si>
  <si>
    <t>rdasori rkrajpal pmshah</t>
  </si>
  <si>
    <r>
      <rPr>
        <rFont val="Arial"/>
        <sz val="10.0"/>
      </rPr>
      <t xml:space="preserve">http://wiki.expertiza.ncsu.edu/index.php/E1839_Review_Requirements_and_Thresholds
</t>
    </r>
    <r>
      <rPr>
        <rFont val="Arial"/>
        <color rgb="FF1155CC"/>
        <sz val="10.0"/>
        <u/>
      </rPr>
      <t>https://github.com/expertiza/expertiza/pull/1263</t>
    </r>
    <r>
      <rPr>
        <rFont val="Arial"/>
        <sz val="10.0"/>
      </rPr>
      <t xml:space="preserve">
https://github.com/rayandasoriya/expertiza/tree/e1839</t>
    </r>
  </si>
  <si>
    <t>Code seems pretty clean. Essentially all view code. Capitalization convention not followed in text strings, though.  This was a small project (109 lines deleted, 66 added), but they have done it well.</t>
  </si>
  <si>
    <t>This design doc consists mostly of excerpts from the project requirements and the code.  The description of Issues 402 and 228 just collects together the comments from the code.  The text describing what was done to fix Issue 417 is at the end of the test plan!</t>
  </si>
  <si>
    <t>E1838</t>
  </si>
  <si>
    <t>nuachary amedge asaini4</t>
  </si>
  <si>
    <r>
      <rPr>
        <rFont val="Arial"/>
        <color rgb="FF1155CC"/>
        <sz val="10.0"/>
        <u/>
      </rPr>
      <t>https://github.com/expertiza/expertiza/pull/1241</t>
    </r>
    <r>
      <rPr>
        <rFont val="Arial"/>
        <sz val="10.0"/>
      </rPr>
      <t xml:space="preserve">
http://wiki.expertiza.ncsu.edu/index.php/E1838_Project_Red
https://drive.google.com/open?id=1yXhVH3QL4aWIu5d4IEZJp5_c62PnYF2E</t>
    </r>
  </si>
  <si>
    <t>Looking at their code, their code has a few code climate issues (of extra lines) which they should have resolved but haven't yet. Also they have some incomplete comments, for ex one of their comment says 'comment for issue 1'. Their code isn't passing the build, but I guess that is okay because I am supposed to talk to Zhewei about it. Their code looks fine though.</t>
  </si>
  <si>
    <t>The wiki is not detailed at all. They do not have any screenshots for their functionality. The test plan is not detailed and doesn't include any borderline cases.</t>
  </si>
  <si>
    <t>E1837</t>
  </si>
  <si>
    <t>rvijaya4 skeerth dwgoslen</t>
  </si>
  <si>
    <r>
      <rPr>
        <rFont val="Arial"/>
        <color rgb="FF1155CC"/>
        <sz val="10.0"/>
        <u/>
      </rPr>
      <t>https://github.com/expertiza/expertiza/pull/1242</t>
    </r>
    <r>
      <rPr>
        <rFont val="Arial"/>
        <sz val="10.0"/>
      </rPr>
      <t xml:space="preserve">
http://wiki.expertiza.ncsu.edu/index.php/E1837_refactor_review_mapping_controller
http://152.46.19.24:3000/
</t>
    </r>
  </si>
  <si>
    <t>Code seems pretty clean.  ReviewStrategy class should have a class comment (though it is described on the wiki page).  Reviewers are saying that most tests pass.  No serious concerns identified.
Your pull request has many duplicated commit messages. Please try to `squash` similar commits.
And using meaningful commit messages later.
You should commit changes to the DB schema (`db/schema.rb`) only if you have created new DB migrations. Please double check your code. If you did not aim to change the DB, please revert the DB schema changes.</t>
  </si>
  <si>
    <t>This is exactly what I want in a design document, though I would like to see more of it.  You mentioned which methods you removed, but did not give any examples of changes that you made, beyond listing the methods that were deleted.</t>
  </si>
  <si>
    <t>E1836</t>
  </si>
  <si>
    <t>sjrappl amishra6 rkarnam</t>
  </si>
  <si>
    <r>
      <rPr>
        <rFont val="Arial"/>
        <color rgb="FF1155CC"/>
        <sz val="10.0"/>
        <u/>
      </rPr>
      <t>https://github.com/expertiza/expertiza/pull/1271</t>
    </r>
    <r>
      <rPr>
        <rFont val="Arial"/>
        <sz val="10.0"/>
      </rPr>
      <t xml:space="preserve">
http://wiki.expertiza.ncsu.edu/index.php/CSC/ECE_517_Fall_2018_E1836_Refactor_quiz_questionnaires_controller.rb
</t>
    </r>
  </si>
  <si>
    <t>They have lots of unnecessary commits. They have done lots of replacing and removing of the code.
You changed MARKDOWN (*.md) documents; please double-check whether it is necessary to do so. Alternatively, you can insert project-related content in the description field of the pull request.
You are using global variables ($) or class variables (@@); please double-check whether this is necessary.
Using create in unit tests or integration tests may be overkill. Try to use build or double instead.
The should syntax is deprecated in RSpec 3. Please use expect syntax instead.
Even in test descriptions, please avoid using should.
TravisCI is failing for this team as well. They have lots of code climate issues to fix. Also, test coverage is falling by 35%.</t>
  </si>
  <si>
    <t>This doc consists of large code sequences with very short (1 or 2-line) descriptions.  The reader is left to figure out the functionality by himself.  The code sequences would be better broken up into methods, or excerpts from methods.  It would be good to describe how the refactoring was carried out (e.g., which principles or patterns were involved, and how). It seems that the description of the tests is reasonable, given that this team only rearranged the automated tests, and they provided screenshots for manual tests.</t>
  </si>
  <si>
    <t>E1835</t>
  </si>
  <si>
    <t>pbhalas sdhaval psingh22</t>
  </si>
  <si>
    <r>
      <rPr>
        <rFont val="Arial"/>
        <sz val="10.0"/>
      </rPr>
      <t xml:space="preserve">http://152.46.19.3:8080
http://152.46.19.3:8080/sidekiq/scheduled
https://github.com/Priyankha12/expertiza
</t>
    </r>
    <r>
      <rPr>
        <rFont val="Arial"/>
        <color rgb="FF1155CC"/>
        <sz val="10.0"/>
        <u/>
      </rPr>
      <t>http://github.com/expertiza/expertiza/pull/1245/commits</t>
    </r>
    <r>
      <rPr>
        <rFont val="Arial"/>
        <sz val="10.0"/>
      </rPr>
      <t xml:space="preserve">
http://wiki.expertiza.ncsu.edu/index.php/E1835_Refactor_delayed_mailer_and_scheduled_task</t>
    </r>
  </si>
  <si>
    <t>Code in pull request seems pretty reasonable.  Some concerns wrt. naming functions, but otherwise reviewers seem to agree that the code is good.
Your pull request has many duplicated commit messages. Please try to `squash` similar commits.
And using meaningful commit messages later.
You should commit changes to the DB schema (`db/schema.rb`) only if you have created new DB migrations.
Please double check your code. If you did not aim to change the DB, please revert the DB schema changes.
You should not change `rails_helper.rb` or `spec_helper.rb` file; please revert these changes.</t>
  </si>
  <si>
    <t>This is a very good attempt to document the functionality, and is very readable.  However, some of the excerpted code sequences are quite long.  I would suggest making each method (or almost each method) a separate excerpt and juxtapose the description with each excerpt. Or you might add links to Github commits.</t>
  </si>
  <si>
    <t>E1834</t>
  </si>
  <si>
    <t>ananava ahshah4 paabhyan</t>
  </si>
  <si>
    <r>
      <rPr>
        <rFont val="Arial"/>
        <sz val="10.0"/>
      </rPr>
      <t xml:space="preserve">http://152.46.18.165:8080/
https://github.com/pratik-abhyankar/expertiza
https://github.com/expertiza/expertiza/compare/master...pratik-abhyankar:master
</t>
    </r>
    <r>
      <rPr>
        <rFont val="Arial"/>
        <color rgb="FF1155CC"/>
        <sz val="10.0"/>
        <u/>
      </rPr>
      <t>https://github.com/expertiza/expertiza/pull/1253</t>
    </r>
    <r>
      <rPr>
        <rFont val="Arial"/>
        <sz val="10.0"/>
      </rPr>
      <t xml:space="preserve">
http://wiki.expertiza.ncsu.edu/index.php/CSC/ECE_517_Fall_2018/E1834_Improve_email_notifications</t>
    </r>
  </si>
  <si>
    <t>Ruby idiom: "if !" --&gt; "unless".  Method comments are needed on the new methods.  is_in_final_round uses magic constant 2 for a deadline_type_id.  Not clear at all!  Moreover, some code is duplicated!  A lot of apparent changes were just indentation, which makes the diff hard to read.
Several reviewers say build did not pass.  One says, "I think User experience and code readability are as imp as producing a working code. So based on how urgent is the requirement for this functionality, I would prioritize refactoring the Notices and Display messages to more appropriately indicate what action was taken when we try to add a participant to the assignment or import using a CSV file. Secondly improving the comments as explained with an example in the first question."
You do not need to delete Gemfile.lock.
You are including debug code in your pull request, please remove it.
There are code changes, but no corresponding tests.
Please include tests if this PR introduces any modifications in behavior.
You should commit changes to the DB schema (`db/schema.rb`) only if you have created new DB migrations.
Please double check your code. If you did not aim to change the DB, please revert the DB schema changes.</t>
  </si>
  <si>
    <t>Excellent job!  Describes all of the functionalities, and shows how they were implemented.  The only thing I would change is to put a space before each open paren :-)</t>
  </si>
  <si>
    <t>E1833</t>
  </si>
  <si>
    <t>mkhan8 dcbharma asony</t>
  </si>
  <si>
    <r>
      <rPr>
        <rFont val="Arial"/>
        <sz val="10.0"/>
      </rPr>
      <t xml:space="preserve">http://wiki.expertiza.ncsu.edu/index.php/E1833_Fix_and_improve_rubric_criteria
</t>
    </r>
    <r>
      <rPr>
        <rFont val="Arial"/>
        <color rgb="FF1155CC"/>
        <sz val="10.0"/>
        <u/>
      </rPr>
      <t>https://github.com/expertiza/expertiza/pull/1254</t>
    </r>
  </si>
  <si>
    <t>The code has a few code climate issues and needs more comments athough most parts are well explained in wiki . The submitted videos do not contain narration. The export demo pretty much shows the issue has been resolved but the access permission demo is not quite intuitive without explanation. Overall, no big concern identified. the 2 issues have been successfully resolved since they have demonstrated that to me and most reviews said so, and 2 tests were well written.</t>
  </si>
  <si>
    <t>Very good write-up. it covers almost all the aspect of the work done by them and most reviewers gave them the highest score. One issue is that the "Problem statement" should actually be included in "background" since it barely explains what the problem is, and more explanations are needed for the description of the first issue. Also I'm not sure why they included the modifications of questionnaires_controller.rb and questionnaires_controller.rb in the section "Modified Files" of the first issue since they are supposed to be included in that section of the second issue. A minor mistake: section "2.1.3.1.1" shoule be in the same level with section "2.1.3.1" in "Contents" And I'd suggest they include the links to the videos in Wiki.</t>
  </si>
  <si>
    <t>E1832</t>
  </si>
  <si>
    <t>atripat6 syu10 ytrived</t>
  </si>
  <si>
    <r>
      <rPr>
        <rFont val="Arial"/>
        <sz val="10.0"/>
      </rPr>
      <t xml:space="preserve">http://152.7.99.59:8080/
</t>
    </r>
    <r>
      <rPr>
        <rFont val="Arial"/>
        <color rgb="FF1155CC"/>
        <sz val="10.0"/>
        <u/>
      </rPr>
      <t>https://github.com/expertiza/expertiza/pull/1234</t>
    </r>
    <r>
      <rPr>
        <rFont val="Arial"/>
        <sz val="10.0"/>
      </rPr>
      <t xml:space="preserve">
http://wiki.expertiza.ncsu.edu/index.php/CSC_517_Fall_2018/oss_E1832
</t>
    </r>
  </si>
  <si>
    <t>Code seems to be well written, except few minute code climate issues. They can improve on comments a bit. They have added few extra functions for which they could have added few comments to make it maintainaable. They have modified existing tests to cover their scenarios as well. Again TravisCI is failing.</t>
  </si>
  <si>
    <t>They missed the problem statement in their wiki doc. But they have done a very good job describing the changes they made to fix the Github issues.  Test plan needs more elaboration.</t>
  </si>
  <si>
    <t>E1831</t>
  </si>
  <si>
    <t>kkancha atewari pkannia</t>
  </si>
  <si>
    <r>
      <rPr>
        <rFont val="Arial"/>
        <color rgb="FF1155CC"/>
        <sz val="10.0"/>
        <u/>
      </rPr>
      <t>https://github.com/expertiza/expertiza/pull/1237</t>
    </r>
    <r>
      <rPr>
        <rFont val="Arial"/>
        <sz val="10.0"/>
      </rPr>
      <t xml:space="preserve">
http://152.46.16.242:8080/
http://wiki.expertiza.ncsu.edu/index.php/E1831_OSS_Project_Teal_Email_Notifications_Enhancements</t>
    </r>
  </si>
  <si>
    <t>Several reviewers say the build did not pass.
`copy_of_all_emails` vs `copy_of_email`. Seems like the `copy_of_email` variable could have been re-used. Names seem to indicate very similar functionality in the user model
Naming issues - there is a method named `there_is_no_other_way_email` in the mailer_helper.rb file. Not clear why it was named this way.</t>
  </si>
  <si>
    <t>Most reviewers think the write up is good. Some feel that the test plan could have been in more detail and the ordering of the sections could have been changed.</t>
  </si>
  <si>
    <t>E1830</t>
  </si>
  <si>
    <t>rsiyer2 rkovilk palexis</t>
  </si>
  <si>
    <r>
      <rPr>
        <rFont val="Arial"/>
        <sz val="10.0"/>
      </rPr>
      <t xml:space="preserve">https://github.com/rahuliyer95/expertiza
</t>
    </r>
    <r>
      <rPr>
        <rFont val="Arial"/>
        <color rgb="FF1155CC"/>
        <sz val="10.0"/>
        <u/>
      </rPr>
      <t>https://github.com/expertiza/expertiza/pull/1266</t>
    </r>
    <r>
      <rPr>
        <rFont val="Arial"/>
        <sz val="10.0"/>
      </rPr>
      <t xml:space="preserve">
http://152.46.18.202:9000
https://youtu.be/tPpowgNRINk
https://youtu.be/F95FA9Iam0s
http://wiki.expertiza.ncsu.edu/index.php/E1830_OSS_Project_Juniper:_Bookmark_enhancements</t>
    </r>
  </si>
  <si>
    <t>91-&gt;93</t>
  </si>
  <si>
    <t>It is not clear why so much code about bookmark rating is added to the bookmarks_controller.  Shouldn't it be in the bookmark_rating model or controller?  Tests seem to be pretty extensive. Videos show them running.
Several reviewers say build did not pass.  Most say it was because one of their tests failed.  Should be resolved before code is merged.  Also, many issues were raised by Code Climate.
You committed `.vscode/` folder; please remove it.
You are requiring `rspec` gem or different helper methods in RSpec tests. There have already been included, you do not need to require them again. Please remove them.</t>
  </si>
  <si>
    <t>This is a pretty good narrative of what the authors have done.  It gives screenshots for all bug fixes and describes the tests written.  The only weakness is that it does not say anything about what code has been changed to address the bookmark issues.  It wouldn't have to include code snippets, but it should at least describe the changes.</t>
  </si>
  <si>
    <t>E1829</t>
  </si>
  <si>
    <t>hasingad pgupta24 ppvasude</t>
  </si>
  <si>
    <r>
      <rPr>
        <rFont val="Arial"/>
        <sz val="10.0"/>
      </rPr>
      <t xml:space="preserve">http://152.46.16.54:8080
</t>
    </r>
    <r>
      <rPr>
        <rFont val="Arial"/>
        <color rgb="FF1155CC"/>
        <sz val="10.0"/>
        <u/>
      </rPr>
      <t>https://github.com/expertiza/expertiza/pull/1267</t>
    </r>
    <r>
      <rPr>
        <rFont val="Arial"/>
        <sz val="10.0"/>
      </rPr>
      <t xml:space="preserve">
https://github.com/ppvasude/expertiza
</t>
    </r>
  </si>
  <si>
    <t>None of their functionalities is working, however they have tried to implement the stuff. I myself tested all functionalities but none of them seem to be working. Also, they have not recorded video so can't be sure of their work.  [Bhavik will meet with team to have them demo]
Afterwards, 4 of 6 issues work in Chrome (though not in Mozilla).  Now renames new teams, checks for a file before importing.  They commented out code to make this work, code that is needed.  (Issue 329.)</t>
  </si>
  <si>
    <t>There are good and bad aspects to this document.  On the good side, it has a description of what has been done to fix each issue.  The description is very clear.  On the bad side, the section on some issues says nothing about what was changed in the code.</t>
  </si>
  <si>
    <t>E1828</t>
  </si>
  <si>
    <t>tnanda vsrivat sghanta</t>
  </si>
  <si>
    <r>
      <rPr>
        <rFont val="Arial"/>
        <color rgb="FF1155CC"/>
        <sz val="10.0"/>
        <u/>
      </rPr>
      <t>https://github.com/expertiza/expertiza/pull/1272</t>
    </r>
    <r>
      <rPr>
        <rFont val="Arial"/>
        <sz val="10.0"/>
      </rPr>
      <t xml:space="preserve">
https://github.com/VibhavSrivaths/expertiza
http://152.46.19.77:8080
http://wiki.expertiza.ncsu.edu/index.php/CSC/ECE_517_Fall_2018/E1785_OSS_project_Beige
</t>
    </r>
  </si>
  <si>
    <t>Some reviewers feel an external CSS could have been used.
Not clear why schema.rb has been changed
Some reviewers say build did not pass - probably due to schema.rb changes</t>
  </si>
  <si>
    <t>Problem statement does not clearly explain what the issue is. The document could have been broken down into sections more clearly - text and headings are not clearly distinguishable. Does not explain changes made to schema.rb</t>
  </si>
  <si>
    <t>E1827</t>
  </si>
  <si>
    <t>rbhasin mjain6 aarnav</t>
  </si>
  <si>
    <r>
      <rPr>
        <rFont val="Arial"/>
        <color rgb="FF1155CC"/>
        <sz val="10.0"/>
        <u/>
      </rPr>
      <t>https://github.com/expertiza/expertiza/pull/1240</t>
    </r>
    <r>
      <rPr>
        <rFont val="Arial"/>
        <sz val="10.0"/>
      </rPr>
      <t xml:space="preserve">
http://wiki.expertiza.ncsu.edu/index.php/E1827_Topic_management
https://youtu.be/_0UU0r4IOf4
</t>
    </r>
  </si>
  <si>
    <t xml:space="preserve">They don't have a deployment link but they've shown the features in the screencast video. Their builds pass with only minor code climate change. They have fixed all the issue that were mentioned in the project requirement. 
They can improve on comments though. </t>
  </si>
  <si>
    <t>The write up is very well written, it includes pieces of code and screenshots of the UI both before and after changes. I think it is sufficiently detailed. They also have a test plan section explaining the cases they have tested manually.</t>
  </si>
  <si>
    <t>E1826</t>
  </si>
  <si>
    <t>hagrawa2 amohan7 zmathew</t>
  </si>
  <si>
    <r>
      <rPr>
        <rFont val="Arial"/>
        <sz val="10.0"/>
      </rPr>
      <t xml:space="preserve">http://wiki.expertiza.ncsu.edu/index.php/E1826_Add_student_view_for_instructor
</t>
    </r>
    <r>
      <rPr>
        <rFont val="Arial"/>
        <color rgb="FF1155CC"/>
        <sz val="10.0"/>
        <u/>
      </rPr>
      <t>https://github.com/expertiza/expertiza/pull/1248#issuecomment-433144811</t>
    </r>
    <r>
      <rPr>
        <rFont val="Arial"/>
        <sz val="10.0"/>
      </rPr>
      <t xml:space="preserve">
https://youtu.be/Hwr0czX0qpI
http://152.46.17.206:8080
</t>
    </r>
  </si>
  <si>
    <t>Not  yet</t>
  </si>
  <si>
    <t>Some code seems duplicated in config/role_admin.yml, dealing with the menu (Line 477 ff, Line 1444 ff).  Why?  Duplicated again in super_admin.yml, 2 places there too.  Also in role_ta.yml.  One test, seems reasonable. [This was because they were autogenerated Goldberg files, that can no longer be autogenerated.]
Several reviewers say build did not pass.</t>
  </si>
  <si>
    <t>Duplicated code is not explained on the wiki page.  In general, the documentation shows code snippets with a two-line description before them.  Except for one snippet, the code does not contain comments.  The overall strategy does not seem to be explained.</t>
  </si>
  <si>
    <t>E1825</t>
  </si>
  <si>
    <t>rdange sseelam2 rrajan3</t>
  </si>
  <si>
    <r>
      <rPr>
        <rFont val="Arial"/>
        <sz val="10.0"/>
      </rPr>
      <t xml:space="preserve">https://github.com/sseelam2/expertiza
http://wiki.expertiza.ncsu.edu/index.php/CSC/ECE_517_Fall_2018_-_E1825:_Add_past-due_assignments_to_task_list
</t>
    </r>
    <r>
      <rPr>
        <rFont val="Arial"/>
        <color rgb="FF1155CC"/>
        <sz val="10.0"/>
        <u/>
      </rPr>
      <t>https://github.com/expertiza/expertiza/pull/1274</t>
    </r>
    <r>
      <rPr>
        <rFont val="Arial"/>
        <sz val="10.0"/>
      </rPr>
      <t xml:space="preserve">
</t>
    </r>
  </si>
  <si>
    <t xml:space="preserve">No deployment link. I manually tested their changes. The alignment of the HTML elements on the student home page was off. Also, it looks like the group has not worked on any of the review comments they received after the first review (Naming issues)
Several reviewers say build did not pass (possibly due to a bundler version mismatch) There are some code climate issues.
However, their code is well structured and organized. They've logically factored out groups of statements into methods, and have written adequate tests.
</t>
  </si>
  <si>
    <t>The strategy to fix the issues is not clearly laid out. The authors have also not included any sample output / screenshots. The project revolves around changes in the UI so screenshots would have a gone a long way in helping a reviewer understand what the project was about.
Several reviewers also think the test plan is inadequate
Code snippets are included as png images, instead of text. Overall, the structure of the document does not look very organized.</t>
  </si>
  <si>
    <t>2018 Spring Final</t>
  </si>
  <si>
    <t>E1824</t>
  </si>
  <si>
    <t>aksahoo smshetty xzheng6 kbnawala</t>
  </si>
  <si>
    <t>http://wiki.expertiza.ncsu.edu/index.php/CSC/ECE_517_Spring_2018-_Project_E1824:_Let_course_staff_as_well_as_students_do_reviews
https://www.youtube.com/watch?v=_r0qHcaaq1o</t>
  </si>
  <si>
    <t>He describes the problem, which is not really necessary in the video, especially ad libbed.
There is an ""Assign grade"" link for everyone, but only ""Perform review"" for certain teams.
Instructor can still update a review after all deadlines have passed.
But why doesn't ""Perform review"" appear for everyone?  Or at least ""Update review"".  (Not if a review has been submitted, at least until the next round starts.)
A couple of times the video was interrupted (e.g, by debugger), and that was not edited out.
They put in a gold border around the instructor review, after saying that was too hard to do.  Now it needs to be regularized with self-review.
Instructor review is not included in the averages.
It adds instructor to the assgt. as a participant.
Response_controller checks whether review is done by a TA or instructor ... 2 times.  The second is if the due date has passed.
Lots of extra code in adding scores.  Ashis admits it needs to be refactored, but he says that was true before they got ahold of it.  It may be hard to add this functionality without special-casing, but if it's not done, I don't think that the added functionality is worth the confusion that will occur later.
They added a new method to ask if it was a TA or an instructor.
Testing seems pretty thorough, but we didn't have time to cover it in detail."
the link calls "add_instructor_as_reviewer" in review mapping controller and then redirects to response_controller new</t>
  </si>
  <si>
    <t>The description is generally clear, but the organization is not.  The Problem Statement evidently consists only of a Current Scenario, which is subdivided into two parts.  The Proposed Solutions and Implementation are much longer, but are not divided at all.  The Test Plan is mostly pasted code, with minimal descriptions; it would be better just to refer the reader to the Github repo.</t>
  </si>
  <si>
    <t>E1823</t>
  </si>
  <si>
    <t>xma21 zzhang56 zchen45 srajend</t>
  </si>
  <si>
    <t xml:space="preserve">http://wiki.expertiza.ncsu.edu/index.php/CSC/ECE_517_Spring_2018/E1823_Write_integration_tests_for_users_controller.rb
https://github.com/expertiza/expertiza/pull/1172
https://youtu.be/bjy5lQ69sPo
</t>
  </si>
  <si>
    <t>User controller tests.
30 new tests cases were written.
Code coverage increased to 91% for user controller.
tests uses params which could be created using a method rather than having duplicate code in each method."
"Please change “has already existed” -&gt; “already exists”
Not clear what “User signup … has been successfully requested” means.
... but they have to check for the screwy messages that Expertiza displays.
Test coverage is ≈ 91%
Wrote 30 new tests.
Documentation could list the methods of users in an order that makes sense, not in the order that they appear in users_controller.rb</t>
  </si>
  <si>
    <t>This document reads too much like a reference model and not enough like a narrative.  It appears that the test descriptions have been changed in some ways, but it's still hard to determine what some of them do, e.g., ""does the user belong to any institution? If yes, good. Otherwise, set a new institution.""  Shouldn't it really prompt the user for a new institution, instead of just setting it?</t>
  </si>
  <si>
    <t>E1822</t>
  </si>
  <si>
    <t>akrish12 hpullag aravich6 ksekhar</t>
  </si>
  <si>
    <t xml:space="preserve">http://wiki.expertiza.ncsu.edu/index.php/CSC/ECE_517_Spring_2018-_Project_E1822:_Extend_the_functionality_of_badging
https://github.com/expertiza/expertiza/pull/1176
https://youtu.be/GZrZTBlH7GQ
</t>
  </si>
  <si>
    <t>The explanation has been improved, and the design document covers most of the bases.  However, it is still weak at describing the working of the code; there is just a listing of files changed, without an explanation of how the added functionality required making these changes.</t>
  </si>
  <si>
    <t>E1821</t>
  </si>
  <si>
    <t>smishra4 psinha agrawa kghosh</t>
  </si>
  <si>
    <t>http://wiki.expertiza.ncsu.edu/index.php/Documentation_on_Database_Tables
https://github.com/expertiza/expertiza/pull/1177
https://youtu.be/ML-jVsLczgM</t>
  </si>
  <si>
    <t>"Regularise the expertiza DB
Update wiki page related to expertiza DB - Maybe the boxes should be replaced with paragraphs.
Use rails migration to delete redundant data and validate using SQL - There are individual SQL scripts for all the tables. Is there any way to improve this to increase automation? Seems like a lot of manual work has been done for this project rather than some kind of automation, but maybe that was the requirement."
Wrote migrations to delete redundant records, e.g., in deadline_types.
  (But was anyone using constants in code instead of values retrieved from this table?  Well, all the tests still pass.)
Then execute SQL scripts to see if they’re gone.
Then run db migration tests to determine if they are running properly [?]
Documentation is in the wiki page they edited.  However, there's a lot of lines that overflow boxes.  I question using the boxes."
Write migration to delete duplicate records, check redundant tables that can be used for all tables. but the name of the columns and tables must be adjusted manually.
The db doc could be improved by putting some description next to name of the table. what does ""*************"" in the column desc. mean? why some fields are bold and some are normal? these should be explained. Some field desc seem to be in accurate e.g., answer_length_threshold --&gt; Maximumm length of answer expected (this is the minimum lenght of answer that can be tagged). I think if you're not sure what the fields are for, it's better to leave it blank or put '?' and let somebody else edit it."</t>
  </si>
  <si>
    <t>On this project, it is a little difficult to separate the project from the documentation.  Upon review, I did find two issues that should have been tackled in the tables: In Rails, table names are supposed to be all lowercase, but many of them are capitalized.  And also, the difference between parent and child tables is not explained.  E.g., in http://wiki.expertiza.ncsu.edu/index.php/Review_grades, both of them are described as, "Tables referred by the Review Grades Table as Foreign Key Relationship."  I can't tell what this is supposed to mean.  Does "referred by" mean "referred to by"?  I think the parent might mean something like, "Tables that use a review_grade as a foreign key".  And the child might mean something like, "Tables that have a foreign key that points to a review_grade record."  This should be clarified.</t>
  </si>
  <si>
    <t>E1820</t>
  </si>
  <si>
    <t>vmaktha pnshore rjmontgo cenelso3</t>
  </si>
  <si>
    <t>https://github.com/rjmontgo/expertiza/wiki/Design-Document
http://wiki.expertiza.ncsu.edu/index.php/CSC/ECE_517_Spring_2018-_Project_E1820_Review-Comment_Tone_Analysis_Report
https://www.youtube.com/watch?v=sxcnKRaTpTE</t>
  </si>
  <si>
    <t>Not yet (Shantanu Sharma should merge)</t>
  </si>
  <si>
    <t>95, or 97 if they refactor to decrease method length</t>
  </si>
  <si>
    <t xml:space="preserve">when I saw the demo, there was still some minor issues with sizing the iframe for the report, but the basic functionality was there and they did a good job using the web service. 
Test cases were defined in the wiki, some of them are too be implemented. "
Looks like methods may be too long …
  They were going to refactor, but ran out of time.
Tone-analysis chart is shoved into the metrics box.
But why do the axes say, “Reviewer 1” if the instructor is viewing it?
And the rubric criteria are just called “Q1”, “Q2”, etc.
  This is because they are just taking data from Peerlogic &amp; displaying in an iframe.
The video has excellent narration, though.
There are 2 tests implemented &amp; the rest are described on the wiki page.
Test plan doesn't describe any of the tests they actually coded in RSpec."
Heatmap of all reviews per reviewer wise in iframe for each question.
Suggested test plans were covered but not implemented.
2 tests were written. 
Peerlogic urls were hardcoded in method.
Number of lines in methods written were more. It could be refactored. "
</t>
  </si>
  <si>
    <t>The design doc unfortunately does not explain how the code works.  It just lists files modified, and does not explain how this project's code calls the web service, and how it uses the objects that it gets back.  It would be very helpful if the design doc contained actual screenshots instead of mockups.  It would also be good if the test plan had enough carriage returns to keep text from spilling over the right edge of the boxes</t>
  </si>
  <si>
    <t>E1819</t>
  </si>
  <si>
    <t>rlpotocn naherrma</t>
  </si>
  <si>
    <t xml:space="preserve">http://wiki.expertiza.ncsu.edu/index.php/CSC/ECE_517_Spring_2018-_Project_E1819:_Improve_self_review,_link_self_and_peer_review_to_derive_grades#Reference
https://github.com/expertiza/expertiza/pull/1183
https://youtu.be/-u5MF9G3ViY
</t>
  </si>
  <si>
    <t>Self-review has an icon that is kind of hard to guess. It has multiple columns for self-review, because there are multiple team members. Partners see each other's self-review, and they can't tell which partner is which. If they haven't done a self-review, it tells them they have to before viewing their scores. Evidently it's very difficult to see how scores are being calculated. They copied code from review_response_map to self_review_response_map. The view code got quite a bit more complicated because of self-review columns, evidently.</t>
  </si>
  <si>
    <t>A lot of the design doc relates to functionality that wasn't implemented.  My first review asked for an intuitive explanation of how the various metrics are calculated, and I still don't see one here.  In particular, I don't understand how the metrics are calculated, and since the files are .pngs and not spreadsheets, I can't look up the formulas.  Discussion of implementation is limited to a list of files modified, which will not be too helpful in understanding what is done, given that a diff in the pull request will give more info than that.</t>
  </si>
  <si>
    <t>E1818</t>
  </si>
  <si>
    <t>awadhwa3 sslabde diddya bjain</t>
  </si>
  <si>
    <t xml:space="preserve">http://wiki.expertiza.ncsu.edu/index.php/CSC/ECE_517_Spring_2018-_Project_E1818:_Role-based_reviewing
https://github.com/expertiza/expertiza/pull/1181
https://youtu.be/jMQCJUeqA1Q
</t>
  </si>
  <si>
    <t>This should either be merged, or E1936, Specialized rubrics, should be merged, and then this project redone fitting into their design.</t>
  </si>
  <si>
    <t>95, or 97 if they fix response_controller</t>
  </si>
  <si>
    <t>Add role based duty to instructor view - Working OK Add/Delete/Select duties - Working OK Add duty specific questionnaire - Working OK Duty column in student view - Working OK Select duty of choice - Working OK Duty specific questionnaire appears - Working OK
There is code in response_controller that needs to be moved out, as it clutters the controller.  I think they will do that.  Also, there are checks for duties in the controller that might be better put in a model subclass of TeammateReviewRubric.</t>
  </si>
  <si>
    <t>Logical organization.  Good description of how the code works in most places.  Test plan has been added with an appropriate level of detail.</t>
  </si>
  <si>
    <t>pkeny scheriy ssabnis2 pmocher</t>
  </si>
  <si>
    <t xml:space="preserve">http://wiki.expertiza.ncsu.edu/index.php/CSC/ECE_517_Spring_2018-_Project_E1817:_Adding_Student-generated_Questions_to_Rubric
https://github.com/Pratik2611/expertiza/tree/shrinathedit
https://github.com/expertiza/expertiza/pull/1178
https://youtu.be/p2zz_WN8lLs
</t>
  </si>
  <si>
    <t xml:space="preserve">- Student-generated questions added to rubric - In assignment#edit page, there should be an option to allow instructor enable/disable this feature.
They say that currently these scores are being counted, &amp; you would need to show the responses in a separate table (except that you can now set the weight to 0).  A note could be added to the student to set the weight to 0.
Min &amp; max on student-written qq. are always 0 &amp; 5, independent of what is used in the review rubric (and the assigned values are literal 0 &amp; 5).
Code is added at many places in response_controller; is there a neater way to do this?
Feature tests have been written.  But some do not have expectations.
SRQ link only appears when Instructor checks the corresponding box in assignment. Header in student/your team view is not necessary.
Setting of weight for each question in SRQ has to be manually set to 0 by the student creating it.
The way SRQ is created could be refactored to use the existing method and updating creator id field and srq id.
Test needs to be modified to include expect in one scenario.
</t>
  </si>
  <si>
    <t>This is a good step-by-step description of how supplementary questions would be used.  It should also describe how they are implemented, and it does not.  Many of the code files are pasted into the documentation.  They show up in monochrome, and in general, are not easy to read.  I would have preferred prose descriptions of what they do.  In the test plan, it doesn't seem that the included code tests for the 4 items listed as tests.</t>
  </si>
  <si>
    <t>E1816</t>
  </si>
  <si>
    <t>aspandit mpan2 djburcal pfpoggi</t>
  </si>
  <si>
    <t xml:space="preserve">http://wiki.expertiza.ncsu.edu/index.php/CSC/ECE_517_Spring_2018-_Project_E1816:_Visualization_for_Instructors
https://github.com/expertiza/expertiza/pull/1167
https://github.com/aspandit/expertiza
https://www.youtube.com/watch?v=nKu3LyFvm4M&amp;feature=youtu.be
</t>
  </si>
  <si>
    <t>implemented 2 charts. one shows the percentage of people that get score of every level in the rubric question. the chart is implemented using flot javascript library. some of the code was reused from last year's project. it's difficult to separate their contributions with the previous teams. the second chart shows the class performance in histogram. it shows the number of answers that particular score. I think, it would be useful if this chart should be generated either for each question, or show the average of all questions for each student.
is the 6-elt. array hardwired?  Suppose the range is other than 0 to 5?]
 They didn't consider this possibility.  But, I note, it should work the same as calibration view.
The show 3 rounds, &amp; in fact, this assgt. has 3 rounds, but there are no scores in the 3rd.
You can now sort reviews by ID, average score, volume, etc.
Existing tests don't run, but per Zhewei, there is an easy fix.
Uses find_by_sql, a potential problem.  Query is fairly complicated.
Possible extension: Show average/histogram by question.
No new tests written.</t>
  </si>
  <si>
    <t>This is still a good document; however, the monochrome code listings just show the code and don't explain in general terms how it works.  That doesn't meet the goal of explaining how features are implemented.  Also, the buttons shown in the document (Team breakdown, etc.) do not seem to be implemented in the project.</t>
  </si>
  <si>
    <t>E1815</t>
  </si>
  <si>
    <t>rkalaig arisboo spoudwa bkarumu</t>
  </si>
  <si>
    <r>
      <rPr>
        <rFont val="Arial"/>
        <color rgb="FF1155CC"/>
        <sz val="10.0"/>
        <u/>
      </rPr>
      <t>http://wiki.expertiza.ncsu.edu/index.php/CSC/ECE_517_Spring_2018-_Project_E1815:_Improvements_to_review_grader</t>
    </r>
    <r>
      <rPr>
        <rFont val="Arial"/>
        <sz val="10.0"/>
      </rPr>
      <t xml:space="preserve"> 
</t>
    </r>
    <r>
      <rPr>
        <rFont val="Arial"/>
        <color rgb="FF1155CC"/>
        <sz val="10.0"/>
        <u/>
      </rPr>
      <t>https://youtu.be/M47R66LYkHU</t>
    </r>
    <r>
      <rPr>
        <rFont val="Arial"/>
        <sz val="10.0"/>
      </rPr>
      <t xml:space="preserve"> 
</t>
    </r>
    <r>
      <rPr>
        <rFont val="Arial"/>
        <color rgb="FF1155CC"/>
        <sz val="10.0"/>
        <u/>
      </rPr>
      <t>https://github.com/expertiza/expertiza/pull/1180</t>
    </r>
    <r>
      <rPr>
        <rFont val="Arial"/>
        <sz val="10.0"/>
      </rPr>
      <t xml:space="preserve"> 
</t>
    </r>
    <r>
      <rPr>
        <rFont val="Arial"/>
        <color rgb="FF1155CC"/>
        <sz val="10.0"/>
        <u/>
      </rPr>
      <t>https://github.com/BhanuSreekarReddy/expertizahttp://wiki.expertiza.ncsu.edu/index.php/CSC/ECE_517_Spring_2018_E1815:_Improvements_to_review_grader</t>
    </r>
    <r>
      <rPr>
        <rFont val="Arial"/>
        <sz val="10.0"/>
      </rPr>
      <t xml:space="preserve"> 
</t>
    </r>
    <r>
      <rPr>
        <rFont val="Arial"/>
        <color rgb="FF1155CC"/>
        <sz val="10.0"/>
        <u/>
      </rPr>
      <t>https://github.com/expertiza/expertiza/pull/1179</t>
    </r>
    <r>
      <rPr>
        <rFont val="Arial"/>
        <sz val="10.0"/>
      </rPr>
      <t xml:space="preserve"> 
</t>
    </r>
    <r>
      <rPr>
        <rFont val="Arial"/>
        <color rgb="FF1155CC"/>
        <sz val="10.0"/>
        <u/>
      </rPr>
      <t>https://www.youtube.com/watch?v=HHdta64VHcY</t>
    </r>
    <r>
      <rPr>
        <rFont val="Arial"/>
        <sz val="10.0"/>
      </rPr>
      <t xml:space="preserve"> 
</t>
    </r>
  </si>
  <si>
    <t xml:space="preserve">They have bar charts, but averages are separate bars from the bars for this student.
There’s also a blank space for Round 3; does that exist in the assgt.?  No; it will always show 3 bars.
Each team member's ID appears on a separate line, and so does the team name, except for checkbox qq., where the team members' IDs don't appear at all.
They have 3 colors, blue, red, &amp; green for reviews, to go along with the existing brown.
Green is assigned when author has not updated links.
[But what about if the page at the link has been changed?]
They changed the question to span all 3 columns, but this creates one wide column that is hard to read.
For checkbox qq., the questions are to the right of the checkbox, but still, there’s a redundant header above each row.
Currently, they just check for wiki links, &amp; if so, check the last-modified date.
is_submission_updated_for_last_round is too long, as well as being badly named.
Test - No tests done. Some unit test cases could have been written for the helper methods. UI testing is not done, but that is difficult to test. 
</t>
  </si>
  <si>
    <t>Clear organization, and good explanation of the changes that have been made.  The screenshots in Issue 1 show how the changes have been implemented.  The code in Issue 2 is less clear, and there is no description of how it works.  The test plan is OK except for saying what is supposed to happen when the code is tested; that is very vague.</t>
  </si>
  <si>
    <t>2018 Spring OSS</t>
  </si>
  <si>
    <t>E1814.1</t>
  </si>
  <si>
    <t>pnshore cenelso3 rjmontgo</t>
  </si>
  <si>
    <r>
      <rPr>
        <rFont val="Arial"/>
        <color rgb="FF000000"/>
        <sz val="10.0"/>
      </rPr>
      <t xml:space="preserve">https://github.com/pnshore4/expertiza
</t>
    </r>
    <r>
      <rPr>
        <rFont val="Arial"/>
        <color rgb="FF1155CC"/>
        <sz val="10.0"/>
        <u/>
      </rPr>
      <t>http://wiki.expertiza.ncsu.edu/index.php/CSC/ECE_517_Spring_2018/E1814_Write_unit_tests_for_collusion_cycle.rb</t>
    </r>
    <r>
      <rPr>
        <rFont val="Arial"/>
        <color rgb="FF000000"/>
        <sz val="10.0"/>
      </rPr>
      <t xml:space="preserve"> 
https://github.com/expertiza/expertiza/pull/1154
https://www.youtube.com/watch?v=sVfzCjRBirEhttps://github.com/expertiza/expertiza/pull/1155
</t>
    </r>
  </si>
  <si>
    <t xml:space="preserve">Yes [with test skeleton] </t>
  </si>
  <si>
    <t>General comments
You did a very good job of writing unit tests!
Path coverage: 100%, MSI coverage: 95.70%
Please fix code climate issues as many as you can
Issues
Please consider loop to handle multiple similar object mocks</t>
  </si>
  <si>
    <t>Good prose descriptions of what is going on.  Diagrams would probably be a more concise way to show the information flow, but I can't fault the way you described it in words.</t>
  </si>
  <si>
    <t>E1814.2</t>
  </si>
  <si>
    <t>xma21 zchen45 zzhang56</t>
  </si>
  <si>
    <t>http://wiki.expertiza.ncsu.edu/index.php/CSC/ECE_517_Spring_2018_E1814_Write_unit_tests_for_collusion_cycle.rb https://github.com/ZekunStevenZhang/expertiza https://youtu.be/_oIVyG0aLc4</t>
  </si>
  <si>
    <t>General comments
You did a very good job of writing unit tests!
Path coverage: 100%, MSI coverage: 98.01% 👍
Please fix code climate issues as many as you can
Issues
If you check reviews_by_reviewer method, you will find that it returns ReviewResponseMap object instead of Response object.</t>
  </si>
  <si>
    <t>This is a good description of what the module is doing, and also a good explanation of the tests.  The authors have included diagrams of the information flow and a screenshot of the running tests.  The only shortcoming is that the diagrams and screenshots would be more readable if they were smaller.</t>
  </si>
  <si>
    <t>E1813.1</t>
  </si>
  <si>
    <t>bjain awadhwa3</t>
  </si>
  <si>
    <t xml:space="preserve">https://github.com/angad8292/expertiza/blob/master/spec/models/menu_item_spec.rb
http://wiki.expertiza.ncsu.edu/index.php/CSC/ECE_517_Spring_2018_E1813_Menu_item_tests
https://github.com/expertiza/expertiza/pull/1161http://wiki.expertiza.ncsu.edu/index.php?title=CSC/ECE_517_Spring_2018/E1813_Test_Menu_Items_Model
https://github.com/sandeep993/expertiza/tree/menu_item_branch
https://www.youtube.com/watch?v=Acywhk_IjDY&amp;feature=youtu.be
</t>
  </si>
  <si>
    <t>97 / 97</t>
  </si>
  <si>
    <t>94 / 88</t>
  </si>
  <si>
    <t>"General comments
You did a good job of writing unit tests!
Path coverage: 100%, MSI coverage: 95.48%
Use keyword let! is very good! 👍
Please fix code climate issues as many as you can
Issues
Line14: please use expect instead of should
Instead of using comments, you could add them into context block, which wraps it block."</t>
  </si>
  <si>
    <t>Too much of the document introduces BDD and unit testing, which the readers can be expected to know..  Also, it shouldn't be necessary to discuss setting up Expertiza on your machine. 
What follows this is a list of items, parameters and methods.  Lists are hard to read and remember.  A list could appear as a table, but should be accompanied by narration to help the reader comprehend what's in the list. The case descriptions don't fit in the boxes, which makes them hard to read.</t>
  </si>
  <si>
    <t>E1813.2</t>
  </si>
  <si>
    <t>hpullag kghosh srajend</t>
  </si>
  <si>
    <t>https://expertiza.csc.ncsu.edu/index.php/CSC/ECE_517_Spring_2018/E1813_Test_Menu_Items_Model</t>
  </si>
  <si>
    <t>General comments
You did a good job of writing unit tests!
Path coverage: 100%, MSI coverage: 94.23%
Please fix code climate issues as many as you can
Issues:
I saw you try to create many fake objects using the new method. You could use the let keyword instead.
Please consider writing a loop to handle the creation of many similar objects.</t>
  </si>
  <si>
    <t>Too much of the document introduces TDD and unit testing, which the readers can be expected to know..  Also, it shouldn't be necessary to discuss setting up Expertiza on your machine.  Preliminaries occupy about 40% of the documentation.  The time could have been better spent on other tasks.
The presentation is better after this.  However, it would've been good to describe what the table and methods did in general before embarking on a list of them.  Essentially the reader needs to read the list and ponder it to come up with a coherent picture; the author could have helped by saying that at the start.  For example, you might say, "Each command that can be selected from one of the menus is represented by a record in the menu_item model."
I think the description of the test cases is very good.  It would even have been better if the tests were summarized above each listing.</t>
  </si>
  <si>
    <t>E1812.1</t>
  </si>
  <si>
    <t>adsimps3 ysgeer arisboo</t>
  </si>
  <si>
    <t>https://expertiza.csc.ncsu.edu/index.php/CSC/ECE_517_Spring_2018-_Project_E1812:_on_the_fly_calc.rb</t>
  </si>
  <si>
    <t>General comments
You did a good job of writing unit tests!
Path coverage: 83.06%, MSI coverage: 88.87%
Please fix code climate issues as many as you can
Issues
round_sym, grades_by_rounds and total_num_of_assessments are variables. I am not sure why you need to mock the return values of them. I think you can just let the code to assign them the values.
When I run you tests, one test case did not pass (Line 62). After skipping this test, all tests are passed.
If you could try to fix the issue, we could increase your grade.</t>
  </si>
  <si>
    <t>This is pretty readable, explaining the need for on_the_fly_calc, and how the tests work. Would have liked to see more explanation of compute_avg_and_ranges_hash. 
Nit:"varys" should be "varies"</t>
  </si>
  <si>
    <t>E1812.2</t>
  </si>
  <si>
    <t>mpan2 dbadvel</t>
  </si>
  <si>
    <r>
      <rPr>
        <rFont val="Arial"/>
        <color rgb="FF1155CC"/>
        <sz val="10.0"/>
        <u/>
      </rPr>
      <t>http://wiki.expertiza.ncsu.edu/index.php/CSC/ECE_517_Spring_2018_E1812</t>
    </r>
    <r>
      <rPr>
        <rFont val="Arial"/>
        <color rgb="FF000000"/>
        <sz val="10.0"/>
      </rPr>
      <t xml:space="preserve"> 
</t>
    </r>
  </si>
  <si>
    <t>General comments
When I tried to run your tests, they did not work. After skipping 4 tests, the rest of tests can pass. But the test coverage is only 13.01%. Basically, you did not write any complete tests.
Please fix code climate issues as many as you can
Issues
Many of your tests do not have expectations.
Some of your expectations are useless, eg.,
allow(Assignment).to receive(:varying_rubrics_by_round?).and_return(true)
expect(assignment2.varying_rubrics_by_round?).to eq(true)
You expect the behavior you just mocked, which is guaranteed always to succeed, regardless of the correctness of th code.</t>
  </si>
  <si>
    <t>Too much space is spent describing Expertiza, TDD, and unit testing--issues which relate to most or all projects, not this one in particular.  The functionality of the class being tested is explained, but not the tests themselves.  This seems like a serious deficiency.</t>
  </si>
  <si>
    <t>E1811</t>
  </si>
  <si>
    <t>No Chooser</t>
  </si>
  <si>
    <t>E1810</t>
  </si>
  <si>
    <t xml:space="preserve">http://wiki.expertiza.ncsu.edu/index.php?title=CSC/ECE_517_Spring_2018-_Project_E1810:_Show_sample_submissions_and_reviews
https://github.com/ashiskumar123/expertiza
http://ec2-13-59-7-94.us-east-2.compute.amazonaws.com:3000
</t>
  </si>
  <si>
    <t>gemfile asks for a particular version of mysql; this will be prone to break the system.  Many (≈ 1/2) of the changes are whitespace changes in Javascript code.  Code in _responses.html.erb has been copied from somewhere else, since there's a comment about removing individual assignments.  This is a violation of DRY. 
I then impersonated Student7487 on Program 1 and made his work public.  But Student7488 was not able to see any submissions.  This appears to be a bug.  Reviewers said the functionality worked, but none reported testing this particular function.</t>
  </si>
  <si>
    <t>Very good job of describing the functionality and presenting the code.</t>
  </si>
  <si>
    <t>E1809</t>
  </si>
  <si>
    <t>E1808</t>
  </si>
  <si>
    <t>http://wiki.expertiza.ncsu.edu/index.php/CSC/ECE_517_Spring_2018-_Project_E1808:_Refactor_review_mapping_controller.rb
https://github.com/XEllis/expertiza
https://youtu.be/VL-BadnIW_Y
https://github.com/expertiza/expertiza/pull/1146</t>
  </si>
  <si>
    <t xml:space="preserve">moved some logic from review_mapping controller to helper class by applying factory(ish) pattern. great job there. However the peer_review_strategy could have been decomposed into smaller methods. refactored a lot of unnecessary instance variables into local vars. 
</t>
  </si>
  <si>
    <t>There is a good explanation of the code changes before the code is presented, but later on there are places where several methods are juxtaposed without any explanation about what they do.
It is good that you described how the Factory Method pattern was used.</t>
  </si>
  <si>
    <t>E1807</t>
  </si>
  <si>
    <t xml:space="preserve">http://wiki.expertiza.ncsu.edu/index.php/CSC/ECE_517_Spring_2018_E1807_bronze_score_calculation
https://youtu.be/nNuqoq6qUcc
https://github.com/expertiza/expertiza/pull/1153
</t>
  </si>
  <si>
    <t>1. Fixed the bug with minimum changes to existing code. Variable names look OK to me. 2. Added unit test cases covering various scenarios. 3. The writeup is detailed and includes a screencast, which is super helpful. 4. Worked dilligently and throughout the assignment period instead of last day. Meetings happended regularly. 
Tests of vm_question_response_row.rb only test 2 of 3 methods.  Test cases are copy-pasted, violating the DRY rule, and not testing an appropriate range of scenarios.</t>
  </si>
  <si>
    <t>Good writeup, and good motivation for the changes that you made.  Would have been helpful to explain the magic hex constants in the tests.</t>
  </si>
  <si>
    <t>E1806</t>
  </si>
  <si>
    <t>http://wiki.expertiza.ncsu.edu/index.php/CSC/ECE_517_Spring_2018-_Project_Juniper:Bookmark_Enhancements#Files_modified_in_current_project
https://github.com/ShrinathCheriyana/expertiza
https://github.com/expertiza/expertiza/pull/1158
https://youtu.be/9-aHYFXjmtU</t>
  </si>
  <si>
    <t xml:space="preserve">
94, or 95 if the remove redundant entries in questionnaire.rb</t>
  </si>
  <si>
    <t xml:space="preserve">The project has not been deployed.  There is a video, but it contains no audio.  It shows a bookmark-rating rubric being created, but not being used.  They had lots of trouble with the menu editor, and really didn't get far beyond fixing the functionality of rubric creation.
</t>
  </si>
  <si>
    <t>The writeup explains the hurdles encountered and the solutions you've found, along with suggestions for future enhancement.  I agree with the reviewer who said it would have been helpful to include code … it would give the next person who works on this confidence about where to start.</t>
  </si>
  <si>
    <t>E1805</t>
  </si>
  <si>
    <t>http://wiki.expertiza.ncsu.edu/index.php/CSC/ECE_517_Spring_2018-_Project_E1805:_Convolutional_data_extraction_from_Github
https://github.com/rpot/expertiza/tree/E1805GithubDataExtraction</t>
  </si>
  <si>
    <t>Added 43,757 lines of code, of which 43,380 are in schema.json—do we need to include all of that?  graphq1 package allows communicating with Github w/o sending json requests. It batches requests to db, which should save considerable times.  In submission_records_controller, they removed a before_action, and test cases are failing.  They used a line chart instead of a bar or column chart to show commits on various days.  The module Github is in the application.rb file, which seems quite pretentious.</t>
  </si>
  <si>
    <t>The writeup is not bad to read because the code is well structured and the metrics are nearly self-explanatory.  That said, I would have liked to see the writeup say more about the implementation, e.g., which parts of Expertiza were changed and why, and also how one could go about incorporating this data in report pages within the application.  It seems to me that the next team will have to figure that out just by reading the code.  It would've been so much better if there had been a description of how this team thought that their views could be used in the system (it was not their job to actually incorporate them, though).</t>
  </si>
  <si>
    <t>E1804</t>
  </si>
  <si>
    <t xml:space="preserve">https://github.com/dburcal/expertiza
http://wiki.expertiza.ncsu.edu/index.php/CSC/ECE_517_Spring_2018-_Project_E1804:_OSS_project_Yellow:_Topic_management
https://vast-bastion-53966.herokuapp.com/
</t>
  </si>
  <si>
    <t>Was merged within E1827</t>
  </si>
  <si>
    <t xml:space="preserve">The project replace the topic table in assignment edit and enable commenting on topic suggestion after the topic suggestion has been approved. For the topic table, the editing flow works beautifully. However, some minor visual appearances are not yet finished. e.g., the table is still wider than the page, the columns width are not adjusted. The build seems to fail. the tests only test the controller. the interaction with the buttons in the table should have been simualted using selenium / capybara. Not sure why the "expect.." and "displays the ad horn in the manage topics table" are commented out. it seems like you're trying to trick the test, which is a sign that the code isn't production ready &amp; can't be merged. </t>
  </si>
  <si>
    <t>The authors have taken care to describe all of the functionality they implemented.  
The section headings refer to issues by number, but in order to find what the issue relates to, you have to look at the "Problem Statement" section.  The headings should have included the same information as the Problem Statement.  To make it easier to read, I edited in this information.
The screenshots are huge, requiring the window to be maximized.  It would have been much better to scale them down.  That would have made it possible to see more of the steps at a single time, and helped avoid "tunnel vision."
The code snippets don't contain enough description of how the code works.  There are just bullet points about what is done, not how it is done.  It would actually be more elucidating to view the code in Github.</t>
  </si>
  <si>
    <t>E1803</t>
  </si>
  <si>
    <t xml:space="preserve">https://github.com/akshayravichandran/expertiza
http://wiki.expertiza.ncsu.edu/index.php/CSC/ECE_517_Spring_2018-_Project_E1803:_Introducing_a_Student_View_for_Instructors
https://youtu.be/lRZT4q7YDLA
https://github.com/expertiza/expertiza/pull/1160
</t>
  </si>
  <si>
    <t>A reviewer writes, "No, this code is not ready to be deployed onto a production server. The reason for that is: there are various aspects which the authors will have to take care of. Firstly, when clicked on course evaluation when in student view, i am redirected to the Manage content view. This shouldn't happen as i am a in a student view."  We have verified that this is the case.
This is not a security problem, but it is evidence that instructor &amp; student views have not been successfully separated.</t>
  </si>
  <si>
    <t>Generally does what it is supposed to. Good comments explaining the code changes.  The first two screenshots are in the wrong order.  Wiki refers to a test plan, but no automated tests have been written.</t>
  </si>
  <si>
    <t>E1802</t>
  </si>
  <si>
    <t>E1801</t>
  </si>
  <si>
    <t>E1800</t>
  </si>
  <si>
    <r>
      <rPr>
        <rFont val="Arial"/>
        <color rgb="FF666666"/>
        <sz val="10.0"/>
      </rPr>
      <t xml:space="preserve">https://github.com/BrentYounce/expertiza
</t>
    </r>
    <r>
      <rPr>
        <rFont val="Arial"/>
        <color rgb="FF1155CC"/>
        <sz val="10.0"/>
        <u/>
      </rPr>
      <t>http://wiki.expertiza.ncsu.edu/index.php/CSC/ECE_517_Spring_2018_-_E1800:_Add_past-due_assignments_to_task_list</t>
    </r>
    <r>
      <rPr>
        <rFont val="Arial"/>
        <color rgb="FF666666"/>
        <sz val="10.0"/>
      </rPr>
      <t xml:space="preserve">
</t>
    </r>
  </si>
  <si>
    <t>May not want this functionality any longer.</t>
  </si>
  <si>
    <t>The list methods don't need to include "student_tasks" in their name, because this is the student_task controller.  Would've been better to call them list, list_current, and list_past.  Another concern is that the code for the three methods is mostly duplicated, violating DRY.  You could've written a single method and passed it the parameters that the three methods pass to paginate.  In general, permissions should be checked in the action_allowed? method, not spread throughout the code.  However, it was good to modularize the code as you did.  It also seems that the display of past-due tasks should have been put in a partial that could be called for current and past tasks.  Tests seem appropriate.</t>
  </si>
  <si>
    <t>A very readable description of what has been done.  I'm not sure I agree with some of the design decisions, e.g., hardwiring the pagination scheme, making the backgrounds as intense as they are.  But the design decisions are clear from the documentation, and that is the goal of the writeup.  I thought the four RSpec tests should have been described individually.  All in all, an excellent job.</t>
  </si>
  <si>
    <t>2017 Fall Final</t>
  </si>
  <si>
    <t>E17A9</t>
  </si>
  <si>
    <t>yyang21 yhuang49 xli76 yzhan101</t>
  </si>
  <si>
    <t xml:space="preserve">http://wiki.expertiza.ncsu.edu/index.php/CSC/ECE_517_Fall_2017/E17A9_Lazy_loading_(infinite_scroll)_for_assignments_courses_questionnaires_and_user_lists_with_Jscroll
https://www.youtube.com/watch?v=p7jmUN52Yu4
https://github.com/expertiza/expertiza/pull/1117
</t>
  </si>
  <si>
    <t>"JScroll does not support tables.
They then tried react-infinite, but it doesn’t support tables either.
So they were directed to React Infinite Scroller, but couldn’t use that either, because it was a ?new? library.
So they gave up, and wrote RSpec tests for users_controller.
They wrote 18 tests “and all of them passed.”  (They don't say what the tests are for.)  And Travis CI now fails.
They found some bugs with TreeDisplayList … you can’t collapse an element once you open it.  They fixed that.  Replaced with ReactJS with a simple ... function.
They organized Others’ Public Assignments by instructor &amp; creation time..
The tests should be described somewhere.
"
Fix a bug in tree display, content can expend, cannot close
"- write an integration test for user_controller.rb
- fix bugs click to collapse questionnaires
- sort assignments by instructor names and creation date
- some break points are left in the code
"</t>
  </si>
  <si>
    <t>The team had a hard time completing the project, and tried to update the design doc to reflect their new direction.  This makes it a bit disjointed, but that is to be expected.  There are a few issues mentioned by reviewers, like the tests should have been better documented.  Just showing the code is not very useful.</t>
  </si>
  <si>
    <t>E17A8</t>
  </si>
  <si>
    <t>krkulkar arantad ssdorwat jajubina</t>
  </si>
  <si>
    <t xml:space="preserve">http://wiki.expertiza.ncsu.edu/index.php/CSC/ECE_517_Fall_2017/E17A8._Use_a_profiler_to_identify_the_problems_/_pages_that_take_some_time_to_load_%26_fix_them
https://youtu.be/qQi6yqbmST4
https://github.com/sahildorwat/expertiza
https://github.com/expertiza/expertiza/pull/1122
</t>
  </si>
  <si>
    <t>"2 pages took a long time to load:  List users and View scores.
They implemented pagination on List Users page.  But they don't have an option to show the whole page, so you can't search for a particular user with text search!
And, are the links to various functions at the bottom of the page?
There are next &amp; last buttons, but not first &amp; prev.
At the end of the user-list description &amp; the beginning of View scores, the audio is very garbled.
They decided to fetch the data for a team when you click the + button for it.
team.html.erb is rendered many times.  Instead, they wrote a function in the controller that could be called ?instead?
Extra &lt;hr&gt;s need  to be removed.
They didn't fix it; they just submitted a Gihub issue!
  Well, they didn't really submit it; they just put the issue in their local Github.
  There were issues with passing params.  They worked on it a long time, according to Pranav. 
But, only 47 LoC were added, 9 deleted
No tests written, but they did do performance testing,"
"They show that they use profiler to analyze the user and view score pages. They implemented paging for the users.
they're not able to implement the fix in the score page, but they suggested some ideas. "
"Added three gems to monitor the request processing time
Analyzed various pages to check the time taken
Fixed one of the slow page
Suggested solution for one of the page
 "</t>
  </si>
  <si>
    <t>This is a very different project, so a lot of sections required in other design docs are not required here and vice versa.  In essence the whole document is a test plan, for performance tests.  The document is generally readable and explains what needs to be done.</t>
  </si>
  <si>
    <t>E17A7</t>
  </si>
  <si>
    <t>sgopara nvenugo2 lguo7 bsingh8</t>
  </si>
  <si>
    <t xml:space="preserve">http://wiki.expertiza.ncsu.edu/index.php/CSC/ECE_517_Fall_2017/E17A7_Allow_Reviewers_to_bid_on_what_to_review
https://youtu.be/gEvi7gEcT88
https://docs.google.com/document/d/1jKnodnTHtfOfda6b0RgjAFc1EC4ZjFgbaqaEXJQLU14/edit
https://github.com/expertiza/expertiza/pull/1131
</t>
  </si>
  <si>
    <t>"Video scans down some code, but I cannot hear any audio!!
But that's not the video they show at the demo ... not clear where that link is.
Problem is to assign multiple reviewers for a submission.
They decided that teams could only have one member.
He goes through an explanation of the algorithm (in the design doc, not in Github or an IDE).
It assumes that everyone has filled in the pref. list?  If not, preferences are 0 for all papers.
Denominator includes topic-pref. #s
score_list array contains columns of different kinds of things, should've been separate arrays.
Comments seem pretty inadequate.
They purport to use manual testing.
More than one topic can be assigned to a reviewer.
In fact, both of the reviewers get both topics.
Leiyang: We just need sth. in the front end to specify type of assgt. &amp; we can interface our code."
"show students bidding on the topics
discuss algorithm to prioritize reviewer with preference of what to review
show reviewers bidding on the topics
there are a lot of miscommunication in the project and a lot of shifting responsibilities to other teams. it's a pity, they could have implement the algorithm as a web service and created a test for the algorithm"</t>
  </si>
  <si>
    <t>The description of what needs to be done is very clear.  The description of the current bidding code is not.  Some kind of itemized list would have helped.  In the new code, I don't understand what score calculation is about.  Is that perhaps bid priority?  The description of the test cases is very short and not specific; it would have to be elaborated considerably to be used as  blueprint for implementation.</t>
  </si>
  <si>
    <t>E17A6.1</t>
  </si>
  <si>
    <t>http://wiki.expertiza.ncsu.edu/index.php/CSC/ECE_517_Fall_2017/E17A6_Fix_account_creation_over_web_to_work_reasonably
https://github.com/expertiza/expertiza/pull/1108
https://youtu.be/WGrAOF1UxkY</t>
  </si>
  <si>
    <t>The use cases are described nicely.  It would be good to boldface the name of the use case. The text in the db table is too large, &amp; is essentially repeated twice.  The individual sections are cohesive, but there is no transition between the sections, making it hard to read sequentially.  UI changes are described, but code changes are not.  Mockup screens are useful.  Kind of hard to find the captions between screenshots, however.</t>
  </si>
  <si>
    <t>E17A6.2</t>
  </si>
  <si>
    <t>http://wiki.expertiza.ncsu.edu/index.php/CSC/ECE_517_Fall_2017/E17A6._Fix_account_creation_over_web_to_work_reasonably
https://github.com/expertiza/expertiza/pull/1104
https://youtu.be/WAj8fX1Yc9E</t>
  </si>
  <si>
    <t>The document is reasonably readable.  It explains the changes in functionality. The UI changes are described, but the code changes are not.  The test plan is not adequately described.  It should say what tests are to be performed, not just which functionality is to be tested.  It is reasonable to test the UI manually, but model and controller tests should be automated.</t>
  </si>
  <si>
    <t>E17A5</t>
  </si>
  <si>
    <t>Allow users to create an account and submit work to an assignment" (e.g., for conference reviewing)</t>
  </si>
  <si>
    <t>adupadhy dkamin vnpatel uparikh</t>
  </si>
  <si>
    <t xml:space="preserve">http://wiki.expertiza.ncsu.edu/index.php/CSC/ECE_517_Fall_2017/E17A5_Allow_users_to_create_an_account_and_submit_work_to_an_%22assignment%22_(e.g.,_for_conference_reviewing)
https://github.com/expertiza/expertiza/pull/1112
https://github.com/VishrutPatel/expertiza
https://youtu.be/CqcXHD_mWYY
</t>
  </si>
  <si>
    <t>Video has little audio &amp; the volume is vy. low.
It shows "creating" a new "research paper".
They have their own submission screen, that doesn't allow submitting a link.  But is it DRY? *
Their submit or review screen is double-spaced; did they re-impl. it?  Yes.
They use "contributor" instead of author, which could get confusing because "contributor" has another meaning in Expertiza.
The new invited author gets an e-mail w/login &amp; pw.
The login screen doesn't look like the std. login screen either.
The whole project is implemented by writing new classes, which often duplicate existing functionality.
For testing, they basically used the scaffold tests instead of writing new tests.  Travis CI coverage remains the same.
They should not include carrierwave gem. Instead they could reuse the default file upload code in Expertiza.
Their pull request includes many auto-generated javascript files.
I do think this file (app/helpers/writer_sessions_helper.rb) is necessary. There are similar code already existed in our system.
They make password authentication always true!! (https://github.com/expertiza/expertiza/pull/1112/files#diff-4676c008b11a5480d73d4a6de01e45b9R198)
No tests.
They included debugging code in pull request.
They commit uploaded files to pull request.
Their upload file path is not consistant with the existing path.</t>
  </si>
  <si>
    <t>With regard to the db changes, what is the table that maps contributors to authors?  Why couldn't the same function be served by the teams table?  What is the new role you created?  Why aren't the existing roles (author, reviewer, etc.) sufficient?  Creating a new table parallel to assignments is a serious violation of the DRY principle, since the functionality is so similar. Don't worry about a few unused words in each record.  The test plan is not sufficiently detailed. It does not say what should be observed at each step.  Also, you have reimplemented a lot of existing model functionality, and should define tests for it.  Your series of screenshots does serve to illustrate the functionality nicely.</t>
  </si>
  <si>
    <t>E17A4.1</t>
  </si>
  <si>
    <r>
      <rPr>
        <rFont val="Arial"/>
        <color rgb="FF1155CC"/>
        <sz val="10.0"/>
        <u/>
      </rPr>
      <t>https://expertiza.csc.ncsu.edu/index.php/CSC/ECE_517_Fall_2017/E17A4_Allow_calibration_to_be_part_of_an_assignment_Team34</t>
    </r>
    <r>
      <rPr>
        <rFont val="Arial"/>
        <color rgb="FF000000"/>
        <sz val="10.0"/>
      </rPr>
      <t xml:space="preserve">
</t>
    </r>
    <r>
      <rPr>
        <rFont val="Arial"/>
        <color rgb="FF1155CC"/>
        <sz val="10.0"/>
        <u/>
      </rPr>
      <t>https://www.youtube.com/watch?v=s4-Oh3pLN-E&amp;t=17s</t>
    </r>
  </si>
  <si>
    <t>Most of the document is quite readable.  There is still room for improvement.With so many use cases, I think there should've been a prose paragraph preceding them explaining how they all fit together.  In the TDD section, you don't need to explain what TDD is, but you should give an overview of the tests.  "Write feature tests for the calibration function" is much too general.  The test plan is reasonable, but would be better if (1) it had an easily rememberable name for each test, and (2) covered edge cases.</t>
  </si>
  <si>
    <t>E17A4.2</t>
  </si>
  <si>
    <t>http://wiki.expertiza.ncsu.edu/index.php/CSC/ECE_517_Fall_2017/E17A4_Allow_calibration_to_be_part_of_an_assignment
https://github.com/expertiza/expertiza/pull/1103
https://youtu.be/5EfSQsnASJo</t>
  </si>
  <si>
    <t>"Created a Calibration due date
Reviews show up to student as ""Calibration Review 1"", ...
Why are all the cells in the video shaded red?
There should be a space before the new submission to review.  And it shows up 2x on the view.
The reviews at the calibration stage should be automatically assigned, not chosen by students.  That creates a lot of confusion in using the UI.
They modified the 006_ migration, from 2007!
Documentation is lots of diagrams &amp; code w/little explanation"
They finished the features. And feature tests.
"The features are covered and were practically shown during the demo. 
Request submission to review 
"
"They finised all features. And write substantial feature tests, which is impressive.
Instructor-select review strategy for calibration review assignment."
"A new due date, called Calibration due date.
Shows how instructor sets it up.
It is always instructor-selected reviewing for the calibration period.
[The audio deteriorates after 3 min.]
I don’t think we ever saw a calibration report … how is that accessed?  Oh,I see the link, but it isn’t visited during the demo. 
They added 519 lines of tests, which impressed Zhewei."</t>
  </si>
  <si>
    <t>Overall, this is a very good document.  It describes the functionality comprehensively and is pretty readable.  There are a few opportunities for improvement: It doesn't discuss code changes at all, just UI changes.  Some of the screenshots are so large that you need to zoom way out to see them.  The automated tests are not extensive and do not consider edge cases.</t>
  </si>
  <si>
    <t>E17A3</t>
  </si>
  <si>
    <t>ragarwa7 kchopra mmsatar2 hhimani</t>
  </si>
  <si>
    <t xml:space="preserve">http://wiki.expertiza.ncsu.edu/index.php/CSC/ECE_517_Fall_2017/E17A3_Upgrade_review_input_UI_and_sanitize_text_input
https://github.com/expertiza/expertiza/pull/1109
https://youtu.be/5wfVG0_nSyU
</t>
  </si>
  <si>
    <t>Upgrade review input UI and sanitize text input
"Update review … and sanitize input
There are colors on the review page … not clear it’s that much better, though.
Not clear what she means about her old review showing up.  (Oh, she didn't save her text)
Now there are star ratings instead of dropdown menus.
  The only thing is that the meaning of 1 is not shown until you click one *, etc.
You can have RTF text, including links &amp; videos.
Hey, this looks pretty neat!
But how about the reports?
Review is autosaved too.
It makes an Ajax call to autosave every 10s.
Offhand, looks like the best project of the year!
"
"Replace textarea with tinymce richtext, added spellcheck, review autosaved every 10s, replace the dropdown with star ratings. 
No automated test, but it wasn't requested in the requirement."</t>
  </si>
  <si>
    <t>The doc provides a good narrative about the changes to be made and how they affect the UI, but it does not say anything about the code that is affected, and it should.  Later programmers use the design doc to help them understand the code.  Also, the test plan is rudimentary.  It says what the tests will check for, but not how they will do the checking.  It is leaving all the work until later.</t>
  </si>
  <si>
    <t>E17A2.1</t>
  </si>
  <si>
    <t>http://wiki.expertiza.ncsu.edu/index.php/CSC/ECE_517_Fall_2017/E17A2._Lightweight_badging_system_based_on_Credly
https://youtu.be/WtPns8mG2K8
https://github.com/rikenshah/expertiza</t>
  </si>
  <si>
    <t>The reviewers had several concerns.  One was that the design doc did not explain why the design choices were made.  That is true, but the project was constrained by the specs, which were pretty specific about the functionality to be implemented.  Another concern was that the test plan did not consider edge cases. This seems to be a good observation. Overall, the text is readable and gives a good idea of why changes are being made and what changes are needed.  So I like it better than the reviewers did.</t>
  </si>
  <si>
    <t>E17A2.2</t>
  </si>
  <si>
    <t>http://wiki.expertiza.ncsu.edu/index.php/CSC/ECE_517_Fall_2017/E17A2_Lightweight_Badging_System
https://github.com/expertiza/expertiza/pull/1095
https://github.com/pushpendrasp/expertiza/tree/badges</t>
  </si>
  <si>
    <t>Yes [TDD]</t>
  </si>
  <si>
    <t>There's little prose in this document.  It is mostly a collection of lists, which might make it easy to look up information, but not to learn about the project by reading end to end.  The test plan merely consists of the test code.  The purpose of the document is to describe the functionality, not to present the code by itself.</t>
  </si>
  <si>
    <t>E17A1.1</t>
  </si>
  <si>
    <r>
      <rPr>
        <rFont val="Arial"/>
        <color rgb="FF000000"/>
        <sz val="10.0"/>
      </rPr>
      <t>http://wiki.expertiza.ncsu.edu/index.php/CSC/ECE_517_Fall_2017/E17A1
https://github.com/expertiza/expertiza/pull/1105
https://github.com/Deepak-Prashanth/expertiza</t>
    </r>
    <r>
      <rPr>
        <rFont val="Arial"/>
        <color rgb="FF1155CC"/>
        <sz val="10.0"/>
        <u/>
      </rPr>
      <t>https://www.youtube.com/watch?v=MyMc1RlLEzU&amp;feature=youtu.be</t>
    </r>
    <r>
      <rPr>
        <rFont val="Arial"/>
        <color rgb="FF000000"/>
        <sz val="10.0"/>
      </rPr>
      <t>e</t>
    </r>
  </si>
  <si>
    <t>Environment setup really shouldn't be a part of the design doc.  The main issue, in my opinion, hurting readability is that there are lists of tasks involved and descriptions of changes, but they are separate.  It's difficult to see how they relate to each other.  That makes the document harder to understand than it should be.</t>
  </si>
  <si>
    <t>E17A1.2</t>
  </si>
  <si>
    <t>http://wiki.expertiza.ncsu.edu/index.php/CSC/ECE_517_Fall_2017/E17A1_Expert_Review.rb
https://youtu.be/ApeQs7C8RFk</t>
  </si>
  <si>
    <t>This document is rather short, but so are the requirements for this project.  As several reviewers note, the test plan is weak. The screenshots are too big and can't be seen without zooming out, but the same could be said of almost all other design docs.</t>
  </si>
  <si>
    <t>E17A0</t>
  </si>
  <si>
    <t>ashah22 dkalro adeshmu pmusyok</t>
  </si>
  <si>
    <t>http://wiki.expertiza.ncsu.edu/index.php/CSC/ECE_517_Fall_2017/E17A0_Team-based_reviewing
https://youtu.be/8vkHx3Hqm8g
https://github.com/expertiza/expertiza/pull/1118</t>
  </si>
  <si>
    <t>"Shows instructor selecting teams to review.  Does this work with auto-selected reviewing too?  Yes.
Can't a team be assigned to review more than one other team?
When does a lock on a review get released?  When it is saved, or in 20 minutes.
Shows that after one reviewer saves(?) a review, another can edit it.
Even if not saved a review times out after 20 min. &amp; saves the response. (Shouldn't it have a countdown timer on the page?)  [I suggested a warning w/3 min. to go &amp; Philip said they could put it in.]
But then they say they can't track inactivity time, so I don't understand it.
Instructor can manually unlock reviews.
To change the strategy, you need to delete reviews; a button has been provided for this.  But the button should only appear if you change the rubric or review strategy.
Another feature (not in video): If instructor deletes reviews while a review is in progress, it tells the student that the review cannot be saved.
One action_allowed method is way too long &amp; should be refactored."
team-based reviews, lock peer review</t>
  </si>
  <si>
    <t>This is quite readable, except for the long paragraph in Step 2 of Approach, which should be broken up.  Some reviewers denigrated the test plan, but it seems reasonable now.  I would encourage you to make more use of Mediawiki markup instead of just putting numbers at the start of paragraphs.</t>
  </si>
  <si>
    <t>E1799</t>
  </si>
  <si>
    <t>bcpatel avarote ashekha rbalakr2</t>
  </si>
  <si>
    <t xml:space="preserve">http://wiki.expertiza.ncsu.edu/index.php/CSC/ECE_517_Fall_2017/E1799_Improve_self-review_Link_peer_review_%26_self-review_to_derive_grades
https://github.com/expertiza/expertiza/pull/1094
https://youtu.be/4bqrAJZmSjY
</t>
  </si>
  <si>
    <t xml:space="preserve">"Need to calculate composite self- and peer-review score
Where did you come up with the formula for combining self- and peer review scores?
  They thought it up themselves.  But it is in a fct. that could be replaced.
        BTW, the term “weighted” is wrong, because weights are not used in the calculation.
“Normalized” would be a better choice.
It’s not clear what the screenshots are of.  
Subsequent peer reviews could cause self-review score to change.
In the display to students, it just says, “Self-review score” and gives no indication of how it was calculated!  If you hover over it, though, it does give an explanation
+543 -239
Good comments ... but they are much more readable than design doc.  I asked for the rationale for the self-review score to be moved to the design doc.
computed_self_review_score -&gt; compute_self_review_score
"
"Self review - This functionality is correctly implemented.
Linking self review with peer review - Correctly implemented.
Final score calculation - Done, but the formula may need to be changed."
The features are very well implemented. Explanations such as for review scores and how they are calculated are shown in wiki writeup. </t>
  </si>
  <si>
    <t>The document contains little prose beyond the problem statement.  It is mostly a set of lists.  This causes readability problems, especially in the section on calculating the composite score.  I have read through it a couple of times and I simply don't understand the algorithm.  When you say, "Mean, median, and mode" to calculate the score--mean, median &amp; mode of what?  Peer reviews, self-review, some combination? The test plan shows a lot of work.  The diagrams and screenshots are useful.</t>
  </si>
  <si>
    <t>E1798</t>
  </si>
  <si>
    <t>cmachan kkumar4 amehta8 rhpande</t>
  </si>
  <si>
    <t>http://wiki.expertiza.ncsu.edu/index.php/CSC/ECE_517_Fall_2017/E1798_Role-based_Reviewing
https://github.com/expertiza/expertiza/pull/1106
https://youtu.be/AYq13itDu-o</t>
  </si>
  <si>
    <t>"Create new duties - Working, but duties are global (needs to be instructor specific).
Teammates can be assigned duties - Working.
Duty specific questionnaire - Working."
"I really don’t think that’s a good place for “Create duties”--anyway, they should be called “roles” in the UI.  There’s also no space from the previous link, “Manage notifications”.
It would be better if you could only create duties after you select “Role-based reviewing”
“Multiple duty” needs to have an info button!
You can only add duties to teammate-review rubrics.
Also, it appears that all duties are global … you have to scroll through all duties that have ever been created. They are.  Everyone in the system sees all duties that have been created.
Can you see duties any way except via the dropdown?  Only when you are creating them.
We are not sure if they can be seen if the rubric is private.
However, they haven’t violated any of the design specs, just made dumb design decisions.
There is an assignments_duties controllers, as well as duties_controller.
But there are essentially no comments in the code.
students_teams_controller seems to have a lot of logic; Anubhab suggests putting it in models.
Not a whole lot of explanation in the design doc, though there are screenshots.  Would have to look at it in more detail.
They wrote some tests but it's not clear how many. No tests for duties controller or assignments_duties, but for questionnaires_controller, but there are only 12 lines of tests there.  Also student_teams_controller.  Need to look at how much code they wrote in these classes &amp; whether it makes those classes more unwieldy."
"create duties (roles) for participants, but they are global for all assignments and instructors. the instructor should be able to limit the duties as private duties belong to him/her. or possible provide a searchable dropdown (dropdown that allows the users to type in search key)
create different rubric for different duties in teammate reviews.
student assign duties to themselves 
review with different rubric for each duty"</t>
  </si>
  <si>
    <t>The document has an adequate number of screenshots and lists all of the anticipated changes.  It would be more readable if it included prose descriptions of what was to be done.  As it is, the reader needs to read over the set of steps to get an idea of the workflow.</t>
  </si>
  <si>
    <t>E1797.1</t>
  </si>
  <si>
    <t>http://wiki.expertiza.ncsu.edu/index.php/CSC/ECE_517_Fall_2017/E1797_Timestamps_for_students_submission
https://github.com/ShyamKatta/expertiza/tree/E1797
https://www.youtube.com/watch?v=6-AR_aNYR2w</t>
  </si>
  <si>
    <t>The reviewers complained about various diagrams being missing, but I liked the flow in general.  Except for the Program Design section, which had a lot of prose without any examples or diagrams to concretize what was being said, it was easy to read and easy to see what was meant.  The code snippets had narratives to explain what they were about, though a little more detail would have been helpful.</t>
  </si>
  <si>
    <t>E1797.2</t>
  </si>
  <si>
    <t>http://wiki.expertiza.ncsu.edu/index.php/CSC/ECE_517_Fall_2017/E1797_Timestamps_for_students_submissions
https://github.com/expertiza/expertiza/pull/1110
https://github.com/NeeharikaSompalli/expertiza.git
https://youtu.be/nBBfOyXN4rs</t>
  </si>
  <si>
    <t xml:space="preserve">"First, they show test cases.
They have a nice timeline showing when things are due.
""Submit hyperlink"" should be ""Hyperlink submitted"" (no cap).
Capitalization is haphazard throughout.
There is a constant increment between events; that could be changed.
Also, what happens if it is too long to fit in the window?  It scrolls.
Review links are clickable; what about the other links?
Shows test cases passing.
They will change colors of circles for deadlines that have not been reached, or are of a different type.
On the documentation, it looks at 1st glance like more explanation should be given."
"Showed a timeline of student submissions, review, etc w.t.r to the deadlines
Visualization could be more useful if colors are shown green if they didn't pass the deadline, and red if they passed the deadline. </t>
  </si>
  <si>
    <t>You have three screenshots with no intervening text.  Some glue code would be nice to explain how the files relate to each other.  But other than that, the document reads quite well and is organized quite logically.</t>
  </si>
  <si>
    <t>E1796</t>
  </si>
  <si>
    <t>mreddy2 jjohn3 ssudame uagrawa</t>
  </si>
  <si>
    <t>http://wiki.expertiza.ncsu.edu/index.php/CSC/ECE_517_Fall_2017/E1796._Unify_Create_Assignment_and_Edit_Assignment_pages
https://github.com/expertiza/expertiza/pull/1116
https://www.youtube.com/watch?v=YUf_LP98-3c"</t>
  </si>
  <si>
    <t>"unified the create assignment by using partials that are used by edit assignment. 
they need to ditch the topic tab, since it requires assignment to be created first and it's quite complex to change that tab. 
create assignment form doesn't create the assignment when changing tabs, since the user might want to fill in other tabs first before the general tab, but other tabs also depends what is chosen in the general tabs. 
"
"Unifying all edit and create assignment pages
Verify tool tips for actions on all the major browsers
Add AJAX requests
Tests are good "
Reducing the coupling between topics and the sign up sheet.  Make minor modifications (mostly on using assignment ID in the partials) and use the existing code of New assignment views. Saving tab by tab instead of all the tabs . Assignment is only saved when save button is clicked instead of save on changing tabs in Create Assignment view. The Edit Assignment view remains the same.
"Unify edit &amp; create assgt.
Edit, every x you change sth., it actually reloads the page.
One task was to stop it from reloading
Test tooltips for working in a diff. browser
One problem is that the topics tab redirects you to signup-sheet view, which assumes that you already have an assgt.
It works fine in Edit Assgt &lt;= you already have an assgt.
But in Create Assgt., you don't even have an assgt.
So there is no Topics tab in Create Assgt.
They reused code for tabs, but had to make ""minor changes"" only in the tabs.
To save the data, they make Ajax requests
Validates directory name.
The notification that an assgt. is changed just comes up in plaintext, not a notifier box.
Tests make sure that new view has data from all tabs &amp; is saved in the db.
Had to revise test cases that were changing Create Assgt. functionality.
From the live demo, it's a little hard to see that it's faster than currently changing an assgt."</t>
  </si>
  <si>
    <t>When you say "metrics", you mean "settings",  The prose is rather difficult to read, perhaps because it does not provide enough context.  The "code changes" section should be matched up with the rationale for the changes, perhaps by linking back to previous sections.  This should be a single narrative, rather than a set of independent descriptions of changes, so everything should be linked together in the prose.</t>
  </si>
  <si>
    <t>E1795</t>
  </si>
  <si>
    <t>kaggarw2 panand4 dgupta10 ryshukla</t>
  </si>
  <si>
    <t>http://wiki.expertiza.ncsu.edu/index.php/CSC/ECE_517_Fall_2017/E1795_Single_signon_for_Peerlogic_web_services_(WS_intergration)
https://github.com/pavneetanand93/PeerLogicSSO
https://youtu.be/VPfgRQEH_4E
https://github.com/dipanshagupta/DemoApp</t>
  </si>
  <si>
    <t>I think they've done what they were required to do well. 
I think they've done what they were required to do well. 
"Single signon for Peerlogic.
All APIs are currently open &amp; anyone can make a call w/o authorization.
Admin approves a key request.  Then the app makes a call w/a token.
Peerlogic validates the token w/SSO.
You can sign in to PeerLogic w/Google.
The screen for requesting a key is pretty cryptic.
And you don’t have any info provided to approve it on!  Worse than the Expertiza acct. request!
“getGraph” generates a rainbow graph.
They claim they don't need to be user friendly, since so. would only use their interface under the watchful eye of a sysadmin.  But still ...
The code seems to lack comments, almost completely"</t>
  </si>
  <si>
    <t>This isn't the most readable document, and I didn't see why until I realized that most of it is a set of lists. It would help to have the lists preceded by prose to give a general overview.  Other than that, ti does not have any obvious deficiencies.</t>
  </si>
  <si>
    <t>E1794</t>
  </si>
  <si>
    <t>ksharma5 akanwar2 mmachav gjoshi</t>
  </si>
  <si>
    <t>http://wiki.expertiza.ncsu.edu/index.php/CSC/ECE_517_Fall_2017/E1794._Student-generated_questions_added_to_rubric
https://github.com/gauravsummer/expertiza
https://youtu.be/S0Q5eVGrrQE</t>
  </si>
  <si>
    <t>Student generated questions
"[Why can’t I speed up this video?]
Uses the regular edit_questionnaire view.
Does the “Manage supplementary rubric” only show up when enabled by the assignment settings?
There should be info buttons or some kind of documentation saying what the different kinds of questions are.
Is the heading “Supplementary Reviewee Generated Questions” hardwired, or can it be changed by the instructor?  Team is willing to work on this.
“Supplementary Rubric” should not be hardwired into the heatgrid!
Why don’t the scores appear in colored circles, as in other review views?  [They used the ""alternate view"" code.]
Do the “supplementary questions” appear in the review report?  They don’t seem to.  [Well, they are not counted in the computed scores.]  Yes, they do appear.
Changes were made in the response class.
I do not see any comments at all!
It can't be turned off currently!  This would need to be fixed.
They claim to have done considerable refactoring.  But I am not clear as to how much separation of responsibility they have.  This would be a major concern
They are getting feedback from Code Climate that they don't understand
"
"add student generated questions, working, well implemented. 
supplementary rubric generation, questions are added and generated. They are visible to other students. The review can also view these scores as well. 
scores are viewed in instructors manual. 
supplementary questions and scores. 
comments are visible and readable.
"</t>
  </si>
  <si>
    <t>The UI is covered, but beyond that, the design is not specified.  How is the code to be changed?  The doc lists the files that are edited, but does not explain how or why they are involved..  The abbreviation SRQ is used, but never defined.</t>
  </si>
  <si>
    <t>E1793.1</t>
  </si>
  <si>
    <t>http://wiki.expertiza.ncsu.edu/index.php/CSC/ECE_517_Fall_2017/E1793._Help_students_find_teams_to_join_Team1964
https://github.com/expertiza/expertiza/pull/1129/
https://youtu.be/B3h3O8UtJ8E</t>
  </si>
  <si>
    <t>I had a little trouble following the sequence of actions to be followed in adding students to teams.  The design doc describes it, but it's easy to miss.  And there are seemingly no instructions given to a user on what that "Invite team mates" (should be "teammates") invitation is about.  It should be said, perhaps in a tooltip, that these students in the class have no team yet.</t>
  </si>
  <si>
    <t>E1793.2</t>
  </si>
  <si>
    <t>http://wiki.expertiza.ncsu.edu/index.php/CSC/ECE_517_Fall_2017/E1793._Help_students_find_teams_to_join
https://github.com/gyj66/expertiza
https://www.youtube.com/watch?v=pDfBYF0zdrU&amp;t=3s</t>
  </si>
  <si>
    <t>Redone by Zhewei</t>
  </si>
  <si>
    <t>"They refer to “Hoar icons”.  What is this?  Oh, horn icons.
Fixed the has_teammate_ads method.
ads_exist is misspelled!
It is not clear to me why “accept” is any quicker than “invite”.
Now you can request an invitation, and the other team can accept it.  Is this instead of the other way around, or in addition?
New feature: List of students who do not have a team is visible by students who don’t currently have a full team.
        I think students should be able to opt out of being on this list.
Possibly too much logic in the view.
It appears that if someone has a TA account in Expertiza, but is taking a class as a student, (s)he can’t participate in this!  It should check for being a participant in the course, not for a role!  [This should be fixed.]
Why team_id = 0?  That seems suspect!  BTW, couldn’t a team_id of 0 be a legal team_id? [No, it's not related to the db, but there should be a boolean recording whether the student is on a team.]
Pull request inserted blank lines in several files that were not otherwise changed.
There do not seem to be adequate comments (e.g., accept vs. invitation_accept).
"
"fix topic advertisement
show list of students w/o team at student end and instructor end (show students unity only if they agree to do so)"
"-fix horn icon in teammate advertisement
-replace ""invite"" with ""accept"" button beside the reject button
-code seems a bit messy. undocumented
-tests are not finished"</t>
  </si>
  <si>
    <t>A test plan was added, evidently, after the last review deadline.  But the main issue I see is that it is not a very readable description of what is to be done and why.  It's necessary to reread the prose an ponder it to determine what the changes are and the reason for them.  The explanation is more important than seeing the code.</t>
  </si>
  <si>
    <t>E1792</t>
  </si>
  <si>
    <t>smajumd3 kbisht sgangul2 proy4</t>
  </si>
  <si>
    <t>http://wiki.expertiza.ncsu.edu/index.php/CSC/ECE_517_Fall_2017/E1792_OSS_Visualizations_for_instructors
https://mymediasite.online.ncsu.edu/online/Play/fe9ed94fb77346c39a7275084a11d7bb1d
https://github.com/Suvodeep90/expertiza_E1792.git</t>
  </si>
  <si>
    <t>"bar graph: submission based 
score+percentage of students 
sort: w.r.t to student names (very good)"
"Changed the overall class view showing %s of each score given.
“All rubrics for one submission are grouped together” … I don’t understand.  There are no labels on the x-axis.  Are these the criteria, in order?  Yes, they are the criteria.  Not clear to what happens to unscored criteria, e.g., text-only.  The team even doesn't know.
When you hover over bars, you see the name of the assignment, not the rubric criterion!  That does not make sense.
Then they fixed the table of grades (from Kai’s project? not from the standard view) to be sortable by several different columns.
They modified tests, but 2 of them are not working.  Hard to test, since it is almost all view code.
Really hard to tell how good their code is, since we can't see a diff."
Their features look good to me. We need to test the visualization of unscored questions.</t>
  </si>
  <si>
    <t>Excellent textual description and explanation of changes to be made.  Only issue is that screenshots are too large relative to the rest of the text, and the reader needs to zoom out to see them all.  Would be nice to update doc to reflect changes made in project.</t>
  </si>
  <si>
    <t>E1791</t>
  </si>
  <si>
    <t>asundar2 sli41 wsun12 dbhanda</t>
  </si>
  <si>
    <t>http://wiki.expertiza.ncsu.edu/index.php/CSC/ECE_517_Fall_2017/E1791._Track_the_time_that_students_look_at_the_other_submissions_-_logging_improvement
https://youtu.be/IMTBqiKth-k
https://github.com/WillSuen/expertiza
https://github.com/expertiza/expertiza/pull/1124</t>
  </si>
  <si>
    <t>"(Audio is very soft.)
A record is created when you click on a submitted hyperlink, or download a file.
They also keep track of when a review is submitted, &amp; the amt. of time betw. the two times is how long that person spent on a review.
If you don’t interact with the page (for how long?) a dialogue will alert you &amp; if you don’t continue, it will do what?
	*Also, it says the “page has not been interacted for …”  It needs to say the “page has not been interacted with for …”
*Will it save before it ~ logs you out?  Not currently, but we suggest periodic saves.
*Also, it would be good to save every couple of min. while the review is open on the screen.
The display … on a separate page … is not convenient enough.  Metrics need to be on the Review Report page as well.
The term ""details"" is much too general.  And the profile info should be factored into the heading, ""Time spent on review by &lt;name&gt; (&lt;user-id&gt;)
“Alternate view” just shows a pie chart.  The link should be, “Pie chart”!
"
"-Track the time when students open hyperlink in the reviewing page
-Open TXT file on browser and record the time
-Instructor can see the time spent on each link and see a pie chart
-The time should be periodically saved."
What if the reviewer doesn't click on "Cancel" ? after some period inactivity. Would the time still be logged ? The time could be moved to the Review Report view. Saving the time periodically should make the time recorded more accurate of the actual time spent on the review.</t>
  </si>
  <si>
    <t>A number of reviewers commented on weaknesses in the test plan, but it appears that has been addressed,  Generally a good description of work to be done.</t>
  </si>
  <si>
    <t>E1790</t>
  </si>
  <si>
    <t>yliu224 yhu22 kyang12 chuang23</t>
  </si>
  <si>
    <t>http://wiki.expertiza.ncsu.edu/index.php/CSC/ECE_517_Fall_2017/E1790_Text_metrics#2.Trello
https://drive.google.com/open?id=1_sh5uEGcFuCqO5rsHOWorXFJfWFM_UF5jEoEPlY8Wc0
https://github.com/hankliu5/expertiza/tree/trello
https://github.com/hankliu5/expertiza
https://youtu.be/I6tStbiT05c</t>
  </si>
  <si>
    <t>"Video is 12 min.!
The is the text-metrics project
The introduce Trello … huh?  This will allow instructors to keep track of students’ progress.
They include a gem to access Trello.
They are evidently pulling data from Trello, but I missed the metrics that they are fetching. But demo doesn’t show how it shows up on any Expertiza view.
 1. # tasks on Trello board.
 2. Personal contributions to completion
There is also a wiki metrics fetcher.  They use Nokogiri.  Code contains references to FleschKincaid metrics.
He explains the code, but why aren’t there comments explaining it?  I don’t see any comments in the code shown.
He walks through the testing code, but does not run the tests!
Their project description did not say they needed to do anything to the views.
They haven't yet sent a pull request.  When they do, Zach will merge it.
"
"pull the %age of tasks &amp; checklist done in trello
show rspec for the trello
analyze the readability index of the wiki using odyssey gems 
show rspec for the readability index
The doc is very clear and good. I like the use of diagrams to explain how the new classes relate to each other. Factory pattern is also a good approach for the framework. "
"Adding a Trello Metrics Fetcher
Adding a wiki  readibility score.
Code fixes for various data related bugs"</t>
  </si>
  <si>
    <t>Reviewers generally liked it in the second round, and I think you've done a good job of describing what you would do in narrative form, which is the main point.  However, as noted by one reviewer, you could have done a better job of explaining the differences between your readability metrics.  Also, the huge model code detracts from readability; you'd have to zoom out to see it all.  The test plan is very sparse.</t>
  </si>
  <si>
    <t>E1789</t>
  </si>
  <si>
    <t>Improvements to review grader</t>
  </si>
  <si>
    <t>cliu32 xtang9 zsun12 lwang49</t>
  </si>
  <si>
    <t>http://wiki.expertiza.ncsu.edu/index.php/CSC/ECE_517_Fall_2017/E1789_Semester_Project
https://www.youtube.com/watch?v=t0GpvtsTU7I&amp;feature=youtu.be
https://github.com/unique-cloud/expertiza</t>
  </si>
  <si>
    <t>No?</t>
  </si>
  <si>
    <t>Use chart.js to show charts in metrics column.
        *It builds in that there will be no more than 3 rounds.
    Well, already there were variables for avg volumes in Round 1, 2, &amp; 3.
*Method is called display_volume, which is too specific.
  Because the variables it operates on are avg_vol_in_round_1, etc.!
Display looks really nice, but they use another bar for the average, rather than a tick.
Then they changed the display to look like the review display, using colored circles (*same colors as on review display?)”
Much of the demo shows the code.
Then coloring of review links.
  Check whether submission has been updated (how do you decide?
    Whether the author has submitted any new files or committed any to Gitub  (not links))
They have trouble showing the code that they changed.
  (Is this explained in the legend?)
They played along w/ugly code from earlier projects, instead of trying to fox it.</t>
  </si>
  <si>
    <t>Basically good; you did what we asked you to.  There is room for improvement.  Test plan is a bit sparse; you say "correct" in several places, but don't say exactly what you would check to determine if it's correct.  A number of reviewers said you didn't provide many design details and, indeed, you didn't identify what parts of the code you would change.  Also, the screenshots are often so large that you would need to zoom out to see them.</t>
  </si>
  <si>
    <t>2017 Fall OSS</t>
  </si>
  <si>
    <t>E1788</t>
  </si>
  <si>
    <t>rhpande knielar tpahuja</t>
  </si>
  <si>
    <t>https://github.com/expertiza/expertiza/pull/1026
http://wiki.expertiza.ncsu.edu/index.php/CSC/ECE_517_Fall_2017/E1788_OSS_project_Maroon_Heatmap_fixes
https://github.com/nielarshi/expertiza/commit/ad4e494de4187e944b335a624d6d089ecdde35e8
https://youtu.be/-jziQI4T--0</t>
  </si>
  <si>
    <t>Did everything the description required them to do . Both the code climate and the Travis CI checks pass and it can be merged right away.</t>
  </si>
  <si>
    <t>The description is pretty readable, for the most part.  Toward the end, there are too few prose descriptions.  For example, about three screenfuls of code are displayed without any commentary (apart from comments in the code) describing what it does.  If you are just going to copy code, it would be more useful just to give a link to a file in the repo.  Also, below that, screenshots are juxtaposed without any indication of which screenshot shows what.  However, overall, the documentation will be helpful to future developers.</t>
  </si>
  <si>
    <t>E1787</t>
  </si>
  <si>
    <t>ssuryad3 lguo7 skatta3</t>
  </si>
  <si>
    <t xml:space="preserve">https://github.com/expertiza/expertiza/pull/1058
http://wiki.expertiza.ncsu.edu/index.php/CSC/ECE_517_Fall_2017/E1787_OSS_project_Bronze_Score_calculations
https://www.youtube.com/watch?v=KfF_Vidb9MI&amp;feature=youtu.be
https://github.com/saiharsha1994/expertiza/tree/Bronzeproject
</t>
  </si>
  <si>
    <t>Only 64 lines of code were changed.
Only fixed one of the two bugs they were supposed to address, being unable to reproduce the second; they did ask about it, but only on the last day.
Variable names could be clearer; comments are wrong or confusing.
Only one of two changed methods are tested, though the tests for that method are reasonable.</t>
  </si>
  <si>
    <t>The prose description of the changes could be more readable.
The section on tests does not describe the rationale for the tests, but just displays the code.</t>
  </si>
  <si>
    <t>E1786</t>
  </si>
  <si>
    <t>aapandey hsmalapa sgopara</t>
  </si>
  <si>
    <t xml:space="preserve">https://github.com/aapandey/expertiza
http://wiki.expertiza.ncsu.edu/index.php/E1786_OSS_Project_Juniper:_Bookmark_enhancements
https://youtu.be/3LiYCWUhJr8
https://github.com/expertiza/expertiza/pull/1039
</t>
  </si>
  <si>
    <t>Only 33 lines of code were changed (18 written, 15 removed), but video seems to show the features work.  The changes added a test to make sure fields were populated when new bookmarks are created, and to suppress bookmark operations on assignments where they are not enabled.  Also, some "back" links are removed, without any justification being given.  Changes are small compared to what was specified in the project description.</t>
  </si>
  <si>
    <t>The writeup is essentially a design doc.  While there are screenshots of new functionality, there is no description of the changes made to implement it.</t>
  </si>
  <si>
    <t>E1785</t>
  </si>
  <si>
    <t>ygui2 xtang9 lwang49</t>
  </si>
  <si>
    <t xml:space="preserve">http://wiki.expertiza.ncsu.edu/index.php/CSC/ECE_517_Fall_2017/E1785_OSS_project_Beige
https://github.com/expertiza/expertiza/pull/1078
https://www.youtube.com/watch?v=5Mh7k3i8sJk
</t>
  </si>
  <si>
    <t>Did well. Only 2 Github issues. Implemented expected UI functionality. Have implemented mail feature as well. Tried to improve the code revision functionality by actually checking if the contents are changed in the submitted link though not properly designed.  We aren't sure how we know that the mailer issues are fixed. We didn't expect you to run a mailer on your system, but it would be good if you could show that the mail was being generated correctly.  Another problem is that some of the code will only work if this assignment involves code kept on Github.  This will be the case in only a very small fraction of assignments.  A more general framework should have been used.</t>
  </si>
  <si>
    <t>There is a prose description of one of the issues fixed.  It includes code. There's also a screenshot, but it shows only a line related to the Github functionality.  The role of Github could be more clearly explained.</t>
  </si>
  <si>
    <t>E1784</t>
  </si>
  <si>
    <t>kyang12 xli76 dwang32</t>
  </si>
  <si>
    <t xml:space="preserve">https://github.com/expertiza/expertiza/pull/1018
http://wiki.expertiza.ncsu.edu/index.php/CSC/ECE_517_Fall_2017/E1784_Fix_mass_assignments_reported_by_Brakeman.rb
https://github.com/KunmiaoYang/expertiza
</t>
  </si>
  <si>
    <t>Good refactoring. And well explanation in the video. Please explain Why did you use :@question_advice instead of :question_advice as the hash key? Also, for that failed tests, you changed that methods. It will be better if you could figure out the reason why tests failed.</t>
  </si>
  <si>
    <t>This is very readable writeup, and could be used by someone to learn about this security vulnerability in general.  It lacks a summary, which would have been useful, but other than that, it is one of the best.</t>
  </si>
  <si>
    <t>E1783</t>
  </si>
  <si>
    <t>mmachav kaggarw2 skathur2</t>
  </si>
  <si>
    <t xml:space="preserve">https://youtu.be/xfNY5EFGXDY
https://github.com/expertiza/expertiza/pull/1053
http://wiki.expertiza.ncsu.edu/index.php/CSC/ECE_517_Fall_2017/E1783_Convolutional_data_extraction_from_Github#Introduction
</t>
  </si>
  <si>
    <t>Fixed the problems left from last semester. Take a look at the demo video would be very illustrative. However, chartkick didn't need to be used, as Expertiza already uses highcharts.  Too much logic in view.</t>
  </si>
  <si>
    <t>The flow is reasonable and the writing is quite good, though there are occasional grammatical errors.  It's nonstandard to use all caps in Wikimedia section headers.  The code is pretty readable, but it is also very large, so it's hard to get much context on a single page.  Could it be shrunk?  Ditto for the screenshot.  Please use standard github itemization instead of "o"s at the beginning of each item.</t>
  </si>
  <si>
    <t>E1782</t>
  </si>
  <si>
    <t>vnpatel ssingh31 dkamin</t>
  </si>
  <si>
    <t>https://github.com/daxamin/expertiza
http://wiki.expertiza.ncsu.edu/index.php/CSC/ECE_517_Fall_2017/E1782_OSS_Project_Red_Assignment_Directories</t>
  </si>
  <si>
    <t xml:space="preserve">Did well. Not too many line changes Implemented all the functionalities. Also wrote test for assignment model changes. Too many codeclimate issues are left open (15). Solved both github issues.. No comments in the code. Could have improved there.  </t>
  </si>
  <si>
    <t>For Issue 391, a short explanation has been given along with pseudo-code.  Would be helpful to see how that relates to the actual code.  For Issue 404, no prose description has been given of the fix.</t>
  </si>
  <si>
    <t>E1781</t>
  </si>
  <si>
    <t>rbalakr2 vannama mraveen</t>
  </si>
  <si>
    <t>https://github.com/expertiza/expertiza/pull/1040
https://docs.google.com/document/d/1X5vCEB5CZEeCPvR6QxjXr20MLjOyhsonJISHX4TW6L8/edit?usp=sharing</t>
  </si>
  <si>
    <t>Implemented the requested functionality.
The "Topic category" field should only appear if there is at least one non-null entry.
Having fields that run past the right edge of the window is nonstandard, but may be a reasonable choice in this case. 
The icons need to be standardized (use expertiza's icon for delete, add, filter)
There are no comments, and the code is not particularly clear.
Several methods are too long.  (Subsequently comments were added &amp; that clarified the code.)</t>
  </si>
  <si>
    <t>The writeup exhibits the same issues as the code, namely that there are long sequences of text without any comments, and the prose is not formatted for readability.</t>
  </si>
  <si>
    <t>E1780</t>
  </si>
  <si>
    <t>proy4 cmanjun nsompal</t>
  </si>
  <si>
    <t>http://wiki.expertiza.ncsu.edu/index.php/CSC/ECE_517_Fall_2017/E1780_OSS_Project_Teal_Email_Notification_Enhancements
https://github.com/chinmay28/expertiza.git
https://github.com/expertiza/expertiza/pull/1042</t>
  </si>
  <si>
    <t xml:space="preserve">Most of the requirements are implemented. As the project was longer than usual in terms of requirements there were one or two requirement (Also discussed with Dr. Gehringer) were pushed to future work section. Instructor gets email notification about changes. Most issues were tackled in implementation 
87; with good comments, could be raised to 91; with good comments &amp; getting "inappropriate" code out of users_controller (code that applies to more than just users) it could be raised a point or two more. (91): comments are added to the code. Wiki has been updated with flow diagrams of the logic of code as well as some other contents. I propose 91 as the final score. </t>
  </si>
  <si>
    <t>The description of the solutions seems disconnected from the problems.  The reader would have to refer back to the problem requirements document to understand the writeup.  The writeup should be more self-contained.  Moreover, it would be very helpful to have more comments in, or juxtaposed with, the code..  Some of the screenshots are quite long, without comments that would tell the reader what is being done.  Headings of "Requirement1", "Requirement2", etc. are not very helpful; the headers should refer to the functionality that the section addresses.  And there should be a space after "Requirement".</t>
  </si>
  <si>
    <t>E1779</t>
  </si>
  <si>
    <t>smajumd3 kbisht jajubina</t>
  </si>
  <si>
    <t xml:space="preserve">https://mymediasite.online.ncsu.edu/online/Play/31dcb783510c4322bcfbc894c71fbdd01d
https://mymediasite.online.ncsu.edu/online/Play/3b649b16e7f7448d9d1ee79ee1448b221d
https://github.com/Suvodeep90/expertiza
http://wiki.expertiza.ncsu.edu/index.php/CSC/ECE_517_Fall_2017/E1779._Fix_teammate_advertisements_and_requests_to_join_a_team
https://github.com/expertiza/expertiza/pull/1028
</t>
  </si>
  <si>
    <t xml:space="preserve">The requested fixes have been good implemented. The code could be improved to make it more conform to the convention (See the comments on the code in Github pull request). </t>
  </si>
  <si>
    <t>Generally a pretty reasonable description; however, the description of the tests is a long list of actions with no overall description.</t>
  </si>
  <si>
    <t>E1778</t>
  </si>
  <si>
    <t>ralwan vsreeni</t>
  </si>
  <si>
    <t>http://wiki.expertiza.ncsu.edu/index.php/CSC/CSC_517_Fall_2017/ProjectPurple</t>
  </si>
  <si>
    <t>Code is fine, but there are some "Puts" that should never be used. Always use logging, which can be turned off, set to write to a file/console from a central location.   Debug code was left in the pull request. Assignment_controller --&gt; edit should be broken down since it became too long.</t>
  </si>
  <si>
    <t xml:space="preserve">Straight forward description. No automatic test was defined. Think of using selenium in the future. </t>
  </si>
  <si>
    <t>E1777</t>
  </si>
  <si>
    <t>sgangul2 ssuresh6 sparasa</t>
  </si>
  <si>
    <t xml:space="preserve">http://wiki.expertiza.ncsu.edu/index.php/CSC/ECE_517_Fall_2017/E1777_Coherent_specification_of_review_requirements.rb
https://github.com/expertiza/expertiza/pull/1059
https://www.youtube.com/watch?v=MOTOFgsUDPA&amp;feature=youtu.be
https://github.com/SrijaGanguly/expertiza.git
</t>
  </si>
  <si>
    <t>Functionality seems to work correctly.  Layout is clear and logical.  Seems that the test plans for Issue #402 does not give the reviewer a review.  It should give the reviewer a review even if (s)he has already reviewed all the submissions with the least number of reviews.  There's one change in reject_by_max_reviews_per_submission that shouldn't be needed and appears incorrect.</t>
  </si>
  <si>
    <t>Generally pretty readable, but the changes to instructor and student view are not well differentiated.  Secreenshots tend to be segued together without transitions. It would also have been better to explain the changes in terms of the functionality provided, rather than the issues addressed (e.g., "Issue #969" is not a heading that will mean anything to the reader).</t>
  </si>
  <si>
    <t>E1776</t>
  </si>
  <si>
    <t>tmdement ppatel16 tkothar</t>
  </si>
  <si>
    <t>http://wiki.expertiza.ncsu.edu/index.php/CSC/ECE_517_Fall_2017/E1776_Enhance_Imports
https://github.com/expertiza/expertiza/pull/1044
https://github.com/Timothy-Dement/expertiza/tree/second-attempt
https://github.com/Timothy-Dement/expertiza/</t>
  </si>
  <si>
    <t xml:space="preserve">The project spec was changed to modify the import feature, which is much larger than the anticipated task. but they manage to finish the import function that allow instructor to define the correct headers. or import files that have different order of the columns. The code was decently written. Comments was given on the top of new functions. </t>
  </si>
  <si>
    <t>The writeup is very detailed and clear what changes were done. The formating is also done carefully. well done!  It would be helpful to add some prose description between the screenshots showing old &amp; new views of various features ... say, describing what had changed in the views. Also, the filenames are in a giant font size.</t>
  </si>
  <si>
    <t>E1775</t>
  </si>
  <si>
    <t>E1774</t>
  </si>
  <si>
    <t>cmachan ragarwa7 asundar2</t>
  </si>
  <si>
    <t>http://github.com/expertiza/expertiza/pull/1045
http://wiki.expertiza.ncsu.edu/index.php/CSC/ECE_517_Fall_2017/E1774_Metareview_fixes_and_improvements.rb</t>
  </si>
  <si>
    <t>The code could be improved by adding some comments e.g., why do we need show_authors_feedback? or link it with the issue # in github for traceability purposes. the changes are minimal and straighforward. Automated test could be extended using selenium to automate UI testing</t>
  </si>
  <si>
    <t xml:space="preserve">Write up is straighforward and well structured.  A few grammatical errors but no other weaknesses at all. Could be enhanced with some screenshots so that the reader could understand the problem and fixes just by scanning it real quick.  </t>
  </si>
  <si>
    <t>E1773</t>
  </si>
  <si>
    <t>yhuang49 chuang23 gfan</t>
  </si>
  <si>
    <t xml:space="preserve">https://github.com/expertiza/expertiza/pull/1031
https://www.youtube.com/watch?v=E5waal02jt8&amp;list=PL5wVSmUI6XrL-m7fu3xST3HSX6dfvLgrH
http://wiki.expertiza.ncsu.edu/index.php/CSC/ECE_517_Fall_2017/E1773_Investigate_and_Fix_Expertiza_Production_Version_Runtime_Exceptions.rb
</t>
  </si>
  <si>
    <t>This is a research-related project. They investigated root causes of top 10 most frequent runtime-exception errors recorded in Airbrake and fixed issues in route.rb file.</t>
  </si>
  <si>
    <t>Excellent job of explaining the errors and what is responsible for them.  One of the most readable writeups.</t>
  </si>
  <si>
    <t>E1772</t>
  </si>
  <si>
    <t>yyang21 hren3 yzhan101</t>
  </si>
  <si>
    <t xml:space="preserve">https://github.com/expertiza/expertiza/pull/1027
http://wiki.expertiza.ncsu.edu/index.php/CSC/ECE_517_Fall_2017/E1772_Refactor_reputation_web_service_controller.rb
https://www.youtube.com/watch?v=jdL-L-UZp1A&amp;t=20s
</t>
  </si>
  <si>
    <t>They finished all requirements and wrote tests. One small issue is they changed &lt;&lt; to = in the code, which makes the code not work. I am not sure it is a typo or not. Also, they commited redis.tar.gz file, which is unnecessary. But it is not a big deal. Otherwise, LGTM!</t>
  </si>
  <si>
    <t>Very good job of describing chages that were made.  Reasonable job of describing test plan, though more detail would have been useful.  I didn't understand, " it's important for code refactor, because it's very inelegant if you put the comments inside the method. If others want to read your codes, it will cost their much more time so that it needs to be changed."</t>
  </si>
  <si>
    <t>E1771</t>
  </si>
  <si>
    <t>sjbarai dpatel14 ssharm29</t>
  </si>
  <si>
    <t xml:space="preserve">http://wiki.expertiza.ncsu.edu/index.php?title=CSC/ECE_517_Fall_2017/E1771_Refactor_team.rb
https://github.com/expertiza/expertiza/pull/1043
https://www.youtube.com/watch?v=vu7BoGfp87k
</t>
  </si>
  <si>
    <t>Good refactoring and tests (150 LOC), and increase test coverage by 0.2%</t>
  </si>
  <si>
    <t>The writeup says what was done, but not how or why it was done that way.  One would not learn much more from reading the documentation than from perusing the code.</t>
  </si>
  <si>
    <t>E1770</t>
  </si>
  <si>
    <t>cshao zsun12 zliu48</t>
  </si>
  <si>
    <t>https://github.com/terryliu1995/expertiza/commits/master
https://www.youtube.com/watch?v=sJdmN-S2Voo&amp;feature=youtu.be
http://wiki.expertiza.ncsu.edu/index.php/CSC/ECE_517_Fall_2017/E1770_Refactor_assignment_participant.rb</t>
  </si>
  <si>
    <t>Very good refactoring. 350+ lines of tests, increase test coverage by 0.4%</t>
  </si>
  <si>
    <t>You can assume that your readers know about Expertiza and RSpec.  You can launch right into the Project Description.  It's great that you wrote so many test cases, but just displaying them is not helpful.  It would be easier to read them in Github.  There should be a description of each test, and they should be organized in a way that is easy to comprehend.</t>
  </si>
  <si>
    <t>E1769</t>
  </si>
  <si>
    <t>tshi2 wsun12 xgong6</t>
  </si>
  <si>
    <t xml:space="preserve">https://github.com/XinyuGong/expertiza
https://youtu.be/F1WQDdmUQDk
http://wiki.expertiza.ncsu.edu/index.php/CSC/ECE_517_Fall_2017/E1769_Refactor_assignment_form.rb
</t>
  </si>
  <si>
    <t>Very good refactoring.You need to rename a method globally, so you need to rename 'is_calibrated?' method in review_mapping/_searchbox.html.erb line14. Very good tests (more than 300 LOC), increase test coverage by 1.7%.</t>
  </si>
  <si>
    <t>The motivation for the refactorings is described well.  There is a good beginning at describing the refactorings themselves, but I think it would have been helpful to describe the changes in more detail.  The tests, on the other hand, are not described in prose.  The reader is asked to read the code, which is harder to do.</t>
  </si>
  <si>
    <t>E1768</t>
  </si>
  <si>
    <t>[Not submitted]</t>
  </si>
  <si>
    <t>E1767</t>
  </si>
  <si>
    <t>asharm33 bsingh8</t>
  </si>
  <si>
    <t>https://github.com/expertiza/expertiza/pull/1063
https://github.com/expertiza/expertiza/issues/153
https://github.com/expertiza/expertiza/issues/1079
https://github.com/expertiza/expertiza/issues/1081
https://github.com/expertiza/expertiza/issues/719
https://github.com/expertiza/expertiza/issues/328
https://github.com/expertiza/expertiza/issues/329
https://github.com/expertiza/expertiza/issues/183
http://wiki.expertiza.ncsu.edu/index.php/CSC/ECE_517_Fall_2017/E1767_Improve_imports
https://mymediasite.online.ncsu.edu/online/Play/437fe6104b8940c3844f2bd5b7ae63111d
https://github.com/expertiza/expertiza/pull/1077</t>
  </si>
  <si>
    <t>Pretty high scores, but testing could be better. Importing topics seems to be added without going through the usual infrastructure for importing.   It appears there are no automated tests.  It seems that several requirements were not addressed by this two-member team.</t>
  </si>
  <si>
    <t>When you say, "The following tasks were already implemented," does that mean that the bugs had been fixed?  Please clarify.  Instead of fixing the import functionality, it seems like you just wrote tests for it.  Screenshots should be scaled back so they fit on a screen.</t>
  </si>
  <si>
    <t>E1766</t>
  </si>
  <si>
    <t>arantad krkulkar aajain2</t>
  </si>
  <si>
    <t xml:space="preserve">http://github.com/ankit13jain/expertiza/
http://wiki.expertiza.ncsu.edu/index.php/CSC/ECE_517_Fall_2017/E1766_Test_team_functionality
https://github.com/expertiza/expertiza/pull/1066
</t>
  </si>
  <si>
    <t>Tests need to include comments.  Many reviewers noted this.
Some of the tests (e.g., Create Assignment, Impersonate Student) do not relate to teams.  It's not your job to write those. For example, creating assignment should be the precondition of test cases, instead of a separate test case.
It looks like some of the code has been copy-pasted from existing tests for other classes.
There are only three test scenarios, all of which relate to valid inputs.  There should be more scenarios, and some that relate to disallowing prohibited actions.</t>
  </si>
  <si>
    <t>The writeup basically consists of the tests, with a couple of lines at the start describing the scenario.  This is good, but a more complete prose description of the approach would make it easier to grasp what the tests are doing.</t>
  </si>
  <si>
    <t>E1765</t>
  </si>
  <si>
    <t>anjain2 ssudame jjohn3</t>
  </si>
  <si>
    <t>https://github.com/expertiza/expertiza/pull/1061
https://youtu.be/UX74MCM-kK0
http://wiki.expertiza.ncsu.edu/index.php/CSC/ECE_517_Fall_2017/E1765_Rubrics.rb</t>
  </si>
  <si>
    <t>In my opinion, this writeup is too short.  While it does describe the changes to the action_allowed? method in detail, there is very little description of how the dumping and loading of rubric criteria work.  Also, there is no indication of whether feature tests have been written.</t>
  </si>
  <si>
    <t>E1764</t>
  </si>
  <si>
    <t>yhu22 yliu224</t>
  </si>
  <si>
    <t>http://wiki.expertiza.ncsu.edu/index.php/CSC/ECE_517_Fall_2017/E1764_Refactor_Grades_Controller.rb
https://drive.google.com/file/d/0B5oA6rsKphdkXy1TZnN6Qm15d0U/view?usp=sharing</t>
  </si>
  <si>
    <t>They did not conduct modification based on my comments in pull request. Their tests are still not completed.</t>
  </si>
  <si>
    <t>The descriptions of the refactorings are adequate, and the tests are motivated well.  The Solutions Implemented and Delivered section should have contained some subheadings, instead of just bullet points.</t>
  </si>
  <si>
    <t>E1763</t>
  </si>
  <si>
    <t>ashah22 ghnguye2 dkalro</t>
  </si>
  <si>
    <t>http://github.com/ghnguye2/expertiza
http://wiki.expertiza.ncsu.edu/index.php/CSC/ECE_517_Fall_2017/E1763_Fix_Staggered-Deadline_Assignments
https://github.com/expertiza/expertiza/pull/1055
https://youtu.be/2Y8LzHkhcJY</t>
  </si>
  <si>
    <t>Redone as E1860</t>
  </si>
  <si>
    <t>Generally implemented the requested functionality.  Method names like get_available_slots are not Ruby idiom (should be available_slots).  Code is very clean; Code Climate reports only two issues.</t>
  </si>
  <si>
    <t>This is a really good writeup.  It could be improved still further if standard Mediawiki topic headings were used throughout instead of "1)", "2)".</t>
  </si>
  <si>
    <t>E1762</t>
  </si>
  <si>
    <t>uparikh adupadhy hhimani</t>
  </si>
  <si>
    <t xml:space="preserve">https://github.com/urmilparikh95/expertiza
http://wiki.expertiza.ncsu.edu/index.php/CSC/ECE_517_Fall_2017/E1762_Test_various_kinds_of_response-map_hierarchies
https://github.com/expertiza/expertiza/pull/1050
https://youtu.be/Iu7hx7Ncc_M
</t>
  </si>
  <si>
    <t>They did well. Wrote tests for all the response maps. Good starting point for the tests for response maps as there weren't any before. Also the build is passed.</t>
  </si>
  <si>
    <t>Writeup is straightforward. Explained one of the tests.  Would have been helpful if all tests had been explained like this.</t>
  </si>
  <si>
    <t>E1761</t>
  </si>
  <si>
    <t>ssdorwat apatial rshah9</t>
  </si>
  <si>
    <t xml:space="preserve">https://github.com/rikenshah/expertiza
http://wiki.expertiza.ncsu.edu/index.php/CSC/ECE_517_Fall_2017/E1761_Test_First_Development_Refactor_assignment.rb
https://youtu.be/XUmzFS0TcqU
</t>
  </si>
  <si>
    <t>You need to rename a method globally, so you need to rename 'has_topics?' method in grades/view_team.html.erb line30. Very good tests (more than 400 LOC), increase test coverage by 1.4%.
a and b are not meaningful variable names</t>
  </si>
  <si>
    <t>In Task 4, code segments are pasted without any description of what they are doing.  That's not adding much value compared to just referring readers to Github.  What would be useful is a 1 or 2-sentence descripton of what the code segment is doing.  Then with regard to the tests, large amounts of code are pasted without any description at all.</t>
  </si>
  <si>
    <t>E1760</t>
  </si>
  <si>
    <t>E1759</t>
  </si>
  <si>
    <t>sshah14 dprasan mkhan7</t>
  </si>
  <si>
    <t xml:space="preserve">http://wiki.expertiza.ncsu.edu/index.php/CSC/ECE_517_Fall_2017/E1759
https://github.ncsu.edu/sshah14/OODD-OSS-Base
https://youtu.be/td5ycillwfY
</t>
  </si>
  <si>
    <t>We cannot grade the code, because you did not fork the Expertiza repo as requested.  Please go back and fork the repo on github.com, and then commit your tests, and submit a pull request. https://github.com/expertiza/expertiza/pull/1051.</t>
  </si>
  <si>
    <t>The wiki is well organized, but is also quite short.  The class hierarchy diagram and screenshot are useful.  Each test is described with just one line of code.  It would be much more helpful to have the various steps in the tests described in prose.</t>
  </si>
  <si>
    <t>E1758</t>
  </si>
  <si>
    <t>pmgandh2 ksharma5 kchopra</t>
  </si>
  <si>
    <t>https://docs.google.com/document/d/1rVALHhgVD_nedNxpI7Pa6heMOldwXdLSNVEBuLADZJ4</t>
  </si>
  <si>
    <t>Redone as E1834</t>
  </si>
  <si>
    <t>Project seems to have implemented the requested functionality.  Video does not contain any audio, so it is not very helpful.  Students should be asked to add audio or re-record it.</t>
  </si>
  <si>
    <t>Design doc is quite readable.  Would have helped if there was a subheading for each change.  Other than that, it seems fine.</t>
  </si>
  <si>
    <t>E1757</t>
  </si>
  <si>
    <t>akanwar2 gjoshi amehta8</t>
  </si>
  <si>
    <t>https://github.com/Aminoid/expertiza
http://wiki.expertiza.ncsu.edu/index.php/CSC/ECE_517_Fall_2017/E1757_Introduce_a_Student_View_for_instructors</t>
  </si>
  <si>
    <t>Functionality generally as requested. Comments are definitely needed to explain the changes to menu items. String of magic constants will be gibberish to anyone not already familiar with how menus are implemented. When instructor changes to student view, the student homepage should appear, and it apparently doesn't. Video should be hosted on a video site, not uploaded to Expertiza.</t>
  </si>
  <si>
    <t>Writeup is quite short, but also fairly easy to read.</t>
  </si>
  <si>
    <t>E1756</t>
  </si>
  <si>
    <t>ashekha bcpatel avarote</t>
  </si>
  <si>
    <t>https://github.com/arpitashekhar/expertiza/tree/E1756
http://wiki.expertiza.ncsu.edu/index.php/CSC/ECE_517_Fall_2017/E1756_TLD_Refactor_response.rb
https://github.com/expertiza/expertiza/pull/1047
https://drive.google.com/file/d/0Bw76yptzkQDJNDZyb2kwazlwSGM/view?usp=sharing</t>
  </si>
  <si>
    <t>Good refactoring. Test coverage increases 1.04%. As far as I know, you did not finish the tests until several days later than the due date.</t>
  </si>
  <si>
    <t>The section headers should be more informative.  "Problem 1", "Decision 2", etc. does not help the reader understand what the sections are about.  When you describe refactorings, it would help to include code snippets, or at least links as you have done in the next section.  Also, it is not clear how the "Issue and Solution" section relates to the rest of the document.  Does it cover the same problems as above?  It seems that you have done a lot of work, but the writeup leaves too much for the reader to figure out.</t>
  </si>
  <si>
    <t>E1755</t>
  </si>
  <si>
    <t>E1754</t>
  </si>
  <si>
    <t>rcoutin pjain15 ryshukla</t>
  </si>
  <si>
    <t xml:space="preserve">https://github.com/expertiza/expertiza/pull/1046
https://github.com/rcoutin/expertiza
http://wiki.expertiza.ncsu.edu/index.php/CSC/ECE_517_Fall_2017/E1754_Feature_test_of_rubric_advice
https://youtu.be/0a5FUXhJHBQ
</t>
  </si>
  <si>
    <t>They had duplicated tests (such as user/instructor login), did not resulve the issue I raised in their PR till this day (which is a test looks completely wrong). I am not really sure if feature tests could be written these ways. looks like controller tests.</t>
  </si>
  <si>
    <t>Fairly readable.  Prose could be written to describe the workings of the test, rather than just their result.  Not clear why testing advice requires verifying that the logged-in user is an instructor.  Shouldn't this be performed in the class that implements logins?</t>
  </si>
  <si>
    <t>E1753</t>
  </si>
  <si>
    <t>nbangal2 nvenugo2 araja2</t>
  </si>
  <si>
    <t xml:space="preserve">https://github.com/Nymeriarya/expertiza
http://wiki.expertiza.ncsu.edu/index.php/CSC/ECE_517_Fall_2017/E1753_OSS_project_bidding_tests
https://github.com/expertiza/expertiza/pull/1052
</t>
  </si>
  <si>
    <t>The group tested all the necessary bidding features including ui and team/topic assignment. Completed most of  the requirements in the description of the OSS project. The pull request is dirty because a)It contains Answer tagging code from older commits amd b)deleted database.yml and secrets.yml which makes the Travis CI build to fail everytime.</t>
  </si>
  <si>
    <t>The functionality of the tests is described.  It would be helpful if (i) the working of the test code was described and (ii) the fonts were larger so the code could be read without zooming in.  The section on code coverage refers to integration tests, but these are not mentioned by name in the writeup.</t>
  </si>
  <si>
    <t>E1752</t>
  </si>
  <si>
    <t>sli41 adeshmu pmusyok</t>
  </si>
  <si>
    <t xml:space="preserve">http://wiki.expertiza.ncsu.edu/index.php/CSC/ECE_517_Fall_2017/E1752_Refactor_assignments_controller
https://github.com/jerry-shijieli/expertiza
https://www.youtube.com/playlist?list=PLUHiK0P0uQKLvW-_hBDdRK3x4cFn6BJ4C
https://github.com/expertiza/expertiza/pull/1024
</t>
  </si>
  <si>
    <t>Very good tests (more than 330 LOC),  increase test coverage by 0.5%. Refactoring is good but Method AssignmentsController#handle_current_user_timezonepref_nil is defined at both /code/app/controllers/assignments_controller.rb:250 and /code/app/controllers/assignments_controller.rb:352.</t>
  </si>
  <si>
    <t>First, it shouldn't be necessary to give background on software testing, refactoring, etc.  It would be good to have considerably more discussion of how methods had been refactored.  The revised version of the edit method is much shorter than the original version because much code has been factored out, but the factored-out code is not shown.  Ditto for update.  The tests are not included or described in the writeup. Moreover, it's not too useful having a copy of the code in the Wiki. it should be simplified with pseudocode so it's much faster to read.</t>
  </si>
  <si>
    <t>E1751</t>
  </si>
  <si>
    <t>E1750</t>
  </si>
  <si>
    <t>abhardw3 cliu32 nwen</t>
  </si>
  <si>
    <t>http://wiki.expertiza.ncsu.edu/index.php/CSC/ECE_517_Fall_2017/E1750_Refactor_review_mapping_controller.rb
https://github.com/nawen/expertiza
https://github.com/expertiza/expertiza/pull/1069</t>
  </si>
  <si>
    <t>There are some test cases not pass, which are related to this project. Refactoring is good at first glance, except several method names should be changed (mentioned in pull request). After merged and deployed your code, there are some issues related the return values of your extracted methods.</t>
  </si>
  <si>
    <t>In refactoring, we were interested in what principles they enforced, or which design patterns they used.  The comments are pretty general and do not give a good sense of what is done.  There should be more whitespace and more comments in the code.  Just showing original &amp; refactored code doesn't indicate clearly how it was changed.</t>
  </si>
  <si>
    <t>E1749</t>
  </si>
  <si>
    <t>sszagade dbhanda mmsatar2</t>
  </si>
  <si>
    <t xml:space="preserve">https://youtu.be/TT-IsutCzgg
https://github.com/expertiza/expertiza/pull/1060
http://wiki.expertiza.ncsu.edu/index.php/CSC/ECE_517_Fall_2017/E1749_TFD_questionnaire_controller.rb_refactor
</t>
  </si>
  <si>
    <t>They did not refactor much. But only two team members were working on this project. Their tests looks ok and passed.</t>
  </si>
  <si>
    <t>There really isn't enough prose to explain what you have done.  For example, there's no prose description of the tests, or the strategy you used in creating tests.  For most refactorings, the before &amp; after code is shown, with no real description of why &amp; how the code was changed or improved.</t>
  </si>
  <si>
    <t>E1748</t>
  </si>
  <si>
    <t>ckanman mreddy2 uagrawa</t>
  </si>
  <si>
    <t>http://youtube.com/watch?v=d2v87vfCKSc
http://wiki.expertiza.ncsu.edu/index.php/CSC/ECE_517_Fall_2017/E1748_Add_past-due_assignments_to_task_list
http://github.com/harshavardhan0605/expertiza</t>
  </si>
  <si>
    <t>Very good implementation. Details are mentioned in the video step by step. The team has worked very hard. Explanation of the video shows clear understanding of the MVC pattern and excellent understanding of Expertiza files. Very well implementation of RGP function so that to show pass due assignments. Magic constant 255 should be given a text name. It will be better it you move the logic for RGP from view to helper.</t>
  </si>
  <si>
    <t xml:space="preserve">Organized wiki writeup. Concise and to the point. Manual testing has been mentioned but with addition of testing (missing) it can be further varified. Overall the code snippets are all clear and great for next time in given to further enhance. Next team will have a clear idea reading the wiki as well as the future work section of the wiki. </t>
  </si>
  <si>
    <t>E1747</t>
  </si>
  <si>
    <t>lzhu15 qwang32 yzhan222</t>
  </si>
  <si>
    <t xml:space="preserve">https://github.com/oscardoudou/expertiza/tree/E1747
https://www.dropbox.com/s/nr3fhk3wbxt4qsr/%E5%BD%95%E9%9F%B3_480p.mov?dl=0
https://www.dropbox.com/s/l734csf16l4vghs/test_finish_480.MOV?dl=0
http://wiki.expertiza.ncsu.edu/index.php/CSC/ECE_517_Fall_2017/E1747_Refactor_sign_up_sheet_controller.rb
</t>
  </si>
  <si>
    <t>You tests are ok (206 LOC), and increase test coverage by 0.8%. But I will not merge your pull request right now since your refactoring is not good. Your refactoring on list method is confusing. You change the order of original code and remove several lines of code without comments. You did not refactor save_topic_deadlines method Your video is too shaky.</t>
  </si>
  <si>
    <t>Most of the narrative is in providing background (e.g., about Expertiza and RSpec) that most readers would already know.  There are paragraph-long descriptions of two refactorings, but for the rest, the code is just pasted in.  That is not helpful; it's easier to read the code on Github, where you can see what was added, deleted, and sometimes, moved.</t>
  </si>
  <si>
    <t>E1746</t>
  </si>
  <si>
    <t>tfei3 azhou6 xzhang72</t>
  </si>
  <si>
    <t>https://github.com/expertiza/expertiza/pull/1071
https://youtu.be/Akjl70WZy-M
http://wiki.expertiza.ncsu.edu/index.php/CSC/ECE_517_Fall_2017/E1746_Refactor_user.rb</t>
  </si>
  <si>
    <t>Very good tests (more than 400 LOC). Refactoring is not good. You just move the code to other files without check whether it works or not. If you also write tests to check newly-added code, this issue may not happen.</t>
  </si>
  <si>
    <t>There are descriptions of all the methods written.  It would be helpful to have more detail, but it is good that they made an attempt to document it.</t>
  </si>
  <si>
    <t>E1745</t>
  </si>
  <si>
    <t>kkumar4 panand4 dgupta10</t>
  </si>
  <si>
    <t xml:space="preserve">https://www.youtube.com/watch?v=VfiPCQmnuAc
http://wiki.expertiza.ncsu.edu/index.php/CSC/ECE_517_Fall_2017/E1745_Refactor_response_controller.rb
https://github.com/expertiza/expertiza/pull/1025
</t>
  </si>
  <si>
    <t>Very clean pull request, good tests (more than 180 LOC), increase test coverage by 0.2%. For refactoring pending_surveys method in response_controller.rb, there is some issues, for detail, please refer to pull request comment.</t>
  </si>
  <si>
    <t>As one of the reviewers noted, "The author has just mentioned what they have done but not mentioned as to why it was done in any instance except one "Replaced find_by_map_id with find_by". There is not mention of the design pattern used although it is understood by the Title of the assigned task."  The Test Plan section is better on that score.</t>
  </si>
  <si>
    <t>2017 Spring Final</t>
  </si>
  <si>
    <t>E1744</t>
  </si>
  <si>
    <r>
      <rPr>
        <rFont val="Arial"/>
        <color rgb="FF1155CC"/>
        <sz val="10.0"/>
        <u/>
      </rPr>
      <t>http://wiki.expertiza.ncsu.edu/index.php/CSC/ECE_517_Spring_2017/finalproject_E1744</t>
    </r>
    <r>
      <rPr>
        <rFont val="Arial"/>
        <color rgb="FF000000"/>
        <sz val="10.0"/>
      </rPr>
      <t xml:space="preserve">
https://www.youtube.com/watch?v=fDn5tu3XlX8
https://github.com/asorgiu/expertiza/tree/E1744GithubMetrics
https://github.com/expertiza/expertiza/pull/943
</t>
    </r>
  </si>
  <si>
    <t>"The visualizations look good to me.
The git contribution will also be stored in the DB."
"You have to bring up the list of submissions, then the submission record, &amp; then click on “View Github Metrics”.  This is not very convenient, since you have to get out of score view.
Contributors are arranged in order of decreasing contributions.
But, what you would want to see is it arranged in order of teams.
It looks like you get there from clicking on a team, but there are way too many users to be a team.
It’s everyone who has contributed to the repo.
What period of time do the metrics cover?
They don’t filter by date, but could.
You can assume three weeks before the 1st deadline, I say, but that should be configurable, so 
Each user gets a token, &amp; can make only 5000 calls/day, so event. you would have to associate an instructor with a token.
It links to the user’s Github profile, and a list of commits of that user.
There is provision to add more metrics.
Tests fetch valid Github repository, &amp; tests for status of response.
  Also, invalid Github repos are tested for."
"Shows all contributors of a GitHub project. It should've filtered the contributors that are in the expertiza team. 
It shows statistic of contributions (lines of code over time and total commit), but it shows the contributions since the beginning. it should have been filtered to the start and end of the expertiza assignment.
"</t>
  </si>
  <si>
    <t>A pretty terse description of the changes to be made, but considering the Github documentation that is linked to, it is sufficient.  Reviewers did fault the authors on not having a detailed enough test plan.  Also, the document should have said something about how the new views would be integrated into the UI ... how instructors and students would navigate to them.  Would have liked to have seen smaller pictures, so it wouldn't be necessary to scroll to see the whole thing.</t>
  </si>
  <si>
    <t>E1743</t>
  </si>
  <si>
    <t>http://wiki.expertiza.ncsu.edu/index.php/CSC/ECE_517_Spring_2017/E1743
https://github.com/expertiza/expertiza/pull/952/
https://www.youtube.com/watch?v=GD-epc7SJBA&amp;t=11s
http://152.46.20.67:3000/</t>
  </si>
  <si>
    <t>"Pagination of user list.
click and impersonate feature"
"can_impersonate? method will slow the page loading time. And each time click 'next page', the code will traverse all users. We may find a way to optimize this process.
Clicking username to impersonate user is convenient. But in some reports, a new column was added in order to show unityid for impersonate functionality. We think adding another column is superfluous. The better way may be to add the unityid just before users' fullname. We refactored and merged impersonate part into master code base."
"show list of users that he current user is able to impersonate. but they need to check the user one by one, whether the current user can impersonate the other users that they fetch from the DB. They provided a link in the manage user list to impersonate any user directly.
"
"User list used to take a vy. long x to fetch.
A gem already in the system allowed them to use the … per-page value.
They code used to go thru assgts. table, but now takes all users from users table &amp; just checks can_impersonate.  Is much faster now.
Now takes 15 to 20 s. to display [the list? the 1st page?]
  But subsequent displays take just as long, even tho the data is theoretically in memory.
  There should be an easier way ...
Second part is to make it easier to impersonate
Had to bring in the Name column of users to more tables so you could impersonate them.
  The links have been added exactly where the specs said to add them.
Added a column to author-feedback report.
Added links to e-mail people
Added 2 test cases for user model
Need a list of all the ways you can impersonate.  They agreed to add this."</t>
  </si>
  <si>
    <t>This document explains the functionality well, but does not say how or where the link functionality is changed.  On pagination of users, it would have been good to discuss how much information was required to be displayed on each page, and how to avoid retrieving more information than is to be displayed.  As noted by reviewers, the test plan could have been described in more detail.</t>
  </si>
  <si>
    <t>E1742</t>
  </si>
  <si>
    <t xml:space="preserve">http://wiki.expertiza.ncsu.edu/index.php/CSC/ECE_517_Spring_2017_E1742
https://github.com/expertiza/expertiza/pull/946
https://youtu.be/bL7fDVGIDq0
</t>
  </si>
  <si>
    <t>For links in each cell. We are not sure what will happen which page will open. This part did not show in the video. For visualization part, the scale is blue to green, which is not make sense. And color will change randomly each time loading the page. It will be better to scale from red to green. And two adjacent bar represents the response in round 1 to round k. It make sense only if the rubrics in all review rounds are all the same. If the instructor implement vary-rubric-by-round mechanism, this visualization will not make sense. We may think about another visualization that hopefully can handle all different scanerios. Table is presorted by team, but you can now also sort alphabetically. The cell view looks way too long, &amp; should be divided into partials.
Visualization on comparing different rounds of reviews
"2 parts
 Tabular view: how many reviews students wrote, how long, how well rec’d.
 Another way of visualizing how well the class is done, to help improve the assgt. for the future.
Shows how grades change on each rubric item in each round.
But the scale is blue to green, not red to green as in other visualizations.
  Colors are are random (Bardia wrote it).  I think it was green to red.
  [They will tell us how to make this change.]
  This also assumes that col. k in round 1 corresponds to col. k in round 2, which may not be correct.
Nice tabular view of how each contributor did.
Primarily implemented in grades_controller [how long overall?]
Pushed back to the view controller(?)
Table is presorted by team, but you can now also sort alphabetically.
The cell view looks way too long, &amp; should be divided into partials.
All tests are in rspec.
  Tested 4 private fcts. (because all their code is private fcts.)
I’m not sure what “highchart” refers to.
  It is a Javascript charts library, suggested in the specs
What does it do for long rubrics?  Text-response qq. are not included, but checkboxes are."
"New visualization for class performance
New display of individual student scores on multiple related assignments"</t>
  </si>
  <si>
    <t>Has a very useful discussion of the rationale for the project.  Reviewers commented on the lack of class diagrams.  There is a mockup of the first feature, but not the second.  A mockup or a screenshot would be very helpful.  The test plan is very rudimentary.</t>
  </si>
  <si>
    <t>E1741</t>
  </si>
  <si>
    <t>E1740</t>
  </si>
  <si>
    <t>http://wiki.expertiza.ncsu.edu/index.php/E1740_-_Lightweight_Badging_System_based_on_Credly
http://152.46.17.195:3000/
https://www.youtube.com/playlist?list=PLhafipEkz8V0uW_cdwNI84MnwHBkT6NcX
https://github.com/aarivan/expertiza/tree/E1740
https://github.com/expertiza/expertiza/pull/945</t>
  </si>
  <si>
    <t xml:space="preserve">"They did all things required. They stored the average scores in order to accelerate the loading time. I think later we can put there data into memory.
They added a new column in assignments table to store the infomation of 1st submission. However, in the requirement, I did not tell them how to implement. So it is not 100% their fault."
"first submission badge. (I dont like the design)
dream team badge (I dont like the design either)"
"Video shows assgt. creation … that is unnecessary &amp; takes time.
Shows the first team to submit getting a badge.
[How is this coded?]
  added a column to assgt. for team ID.
  Every assgt. will now have a first-to-submit badge; that was in req'ts.
The second team doesn’t get the badge.
Instructor as well as students can see the badge.
Next, a ""dream team"" badge is given only when the average score of the team is higher than 95.
[Again, how is this coded?]
  Two columns.  Store avg. teammate review scores in a new column.  This is to save time.  But only for teammate reviews.  (Why should they be special?  &lt;= the Dream Team badge.
23 files changed.
Tests test functionality of Instructor &amp; Student views.
  A stub user goes thru the process of submitting 1st.
Writeup doesn't say how they made changes to the existing methods.
But one team member can get a badge &amp; not another … how can that be?
Oh, is the badge given only for teammate reviews &gt; 95?
Instructor can see badges on Participants page.
There’s also a “good reviewer” video.
You get this if the instructor assigns you a review grade (in the review grader) &gt; 95.
He shows the student’s homepage showing two badges.
Also the Participants page shows it.
(Can the badges be in full color?)
"
Awarding 3 types of badges. These badges are stored as separate static columns. Different rules are defined for awarding the 3 badges e.g., for dream team badge, all team members must review each other, each must get 95%. Test cases are defined. Write up contains use cases but maybe interaction diagram would give more details how the implementation is done on the component level. </t>
  </si>
  <si>
    <t>Generally good flow, explains most of the items well.  Except for three mentions of files to be modified, there is no indication of how the code will be changed to allow for badges.  This should be described in more detail.</t>
  </si>
  <si>
    <t>E1739</t>
  </si>
  <si>
    <t>E1738</t>
  </si>
  <si>
    <t xml:space="preserve">http://wiki.expertiza.ncsu.edu/index.php/CSC/ECE_517_Spring_2016/E1738_Integrate_Simicheck_Web_Service
https://github.com/expertiza/expertiza/pull/949
https://youtu.be/soilXbZkzKw
</t>
  </si>
  <si>
    <t>Demo the simicheck functionality.
"schedule and send request to simicheck.
A simicheck report page."
"Create a new assignment with simicheck settings (delay and threshold). 
report page of the  simicheck comparison results (the menu won't be there if simicheck is not selected)
"
"There are text &amp; code comparisons.
doc, text, Google doc (“anyone with link”) &amp; web site or wiki pages.
At the bottom of the New Assignment page, there are Simicheck “delay” &amp; “threshold” choices.
  I ask for these to be opened up by checking a checkbox.
You can delay the check [till so long after the deadline? Yes].
They added a “Plagiarism checker report” to the list of reports.
The report only exists if Simicheck is being used.  If Tests to fetch a web site &amp; removing HTML, &amp; nonexistent web sites.
Tests of Google doc fetching &amp; content.
  Requests were mocked out.
Simicheck web-service tests (are not mocked out).  Checks that HTML tags are removed.
The time delay is implemented in delayed_mailer, unfort.
Codewise, they only support pull requests now
Simicheck is not done running, it tells you there is nothing to report yet.
api_key is tied to David's Google acct., so we should change it."</t>
  </si>
  <si>
    <t>The issues found by the reviewers appear to have been addressed.  This is a well written design doc.  Some of the diagrams could have been a little narrower for the sake of readability.  The document could have addressed the parts of the Expertiza code that were modified.  And it could have included a screenshot or two.  But, it flows much better than most docs and includes almost all of the important issues.</t>
  </si>
  <si>
    <t>E1737</t>
  </si>
  <si>
    <t xml:space="preserve">http://wiki.expertiza.ncsu.edu/index.php/CSC/ECE_517_Spring_2017/Convert_Assignment_Creation_Form_to_ReactJS
https://github.com/GDivya111/expertiza
https://github.com/expertiza/expertiza/pull/950
https://youtu.be/9w4EYfrFPR8
</t>
  </si>
  <si>
    <t>"Assignment creation in a pop-up pane instead of on a new page.
""Quick edit"" pops up and allow user to change the information on the general tab."
"Provides a sorting facility.
Checks on client side that req’d. fields are present.
 But why did the warning msg. not go away when “test” was typed? []
The “Show assgt.” screen is pretty basic, not very readable.
There is a new “Quick edit” button … seems to be confusing.
Quick edit just gives you a single page with all the first tab.
  This is because js didn't work for the topics tab--likely a problem with the forms object.
  However, the documentation says it does work, &amp; includes screenshots.
Horrible design!
Allows sorting of topics tab by any field.
In topics tab, there is code for adding javascript, but it doesn't work.
Re. testing, they would've had to learn how to test javascript."
"ReactJS ""Add new assignment"" form is identical to the previous project
add new form validation using javascript, which is quite neat.
add quick edit form, which is a good start but unfortunately unfinished. 
"</t>
  </si>
  <si>
    <t>Covers all the changes to be made.  There are a good number of diagrams, but the size should be reduced so they are viewable without scrolling.  Could have provided more details on how functionality would be achieved (e.g., saying more than "make it sortable using ReactJS").  Plan does not include automated tests.</t>
  </si>
  <si>
    <t>E1736</t>
  </si>
  <si>
    <t>E1735</t>
  </si>
  <si>
    <t>ahasket mamoran mhhassan remcelfr</t>
  </si>
  <si>
    <t xml:space="preserve">http://wiki.expertiza.ncsu.edu/index.php/E1735._UI_changes_for_review_and_score_reports
https://github.com/expertiza/expertiza/pull/947
https://youtu.be/fzQGyfBiVmU
</t>
  </si>
  <si>
    <t>"1. They did not deploy Expertiza to a remote server. So I cannot test their code. And when I pulled their code on my local machine, I cannot open the score report for OSS project in this semester.
2. You tabbed view looks really good. Below are several concerns:
2.1 And as far as I known, if your want to switch the original view to a tabbed view, you can reuse original partials instead of creating new ones.
2.2 It seems that in requirement professor hopes the score reports from student end and instructor end can be unified. Maybe you could implement tabbed view also on score report from student end.
3. I do not think search function in score report works.
4. Potential SQL injection may occur in the query for search function.
5. Since their work mostly on view, so they did not write too many tests."
"In students' view of ""view_my_scores"", the reviews are listed differently.
Some unnecessary &lt;br&gt;s have been removed to save space.
In the instructors' view of ""view scores"", for each line, the information is displayed in a tabbed panel now.
The search function is not completed on the day of the demo. We expect the search can cover all the content in the answers and expand if the searched word is found."
"Review headers changed in collapsed mode.
Now give-feedback link is only available when you expand the review.
There are give feedback links at the top &amp; bottom of reviews.
Removed amt. of space betw. checkbox qq. and betw. reputation &amp; round line.
There is now a search box at the top, but it is not completely functional.  [Is it now?  No, not yet.  It was designed to pull back all of the reviews &amp; the search would essentially rebuild the reviews that did.]
There are 6 tabs now.
Team statistics as partial – I didn't quite understand that. [Oh, it's just that you could put more stats on the stats tab, e.g., like in the student score report where they have stats for their team.]
Is there a way to expand all the reviews with a single click.
Red background that shows you the current team that's expanded.  This is true also in the tabs … the team that's expanded shows which item is expanded.
Heat grid: there is a link for each participant (why not a single one for team?) [Yes, it usually shows the same reviews for each student, but author feedback &amp; metareviews might be different.  It would be better to put it on the various other tabs, with the same code used.]
  But they couldn't get it to work as a partial (Ajax calls didn't work in x).
  They would like to do it … not via an Ajax call, but using just the qq. &amp; scores [explain.]
  The idea is that the vm_question_response; this is in grades_controlller/view_team.  But, all the data necessary is already pulled in to the various tabs.
Yang: Is there any reason that tabbed view is only applied to instructor's page?
 A. Yes, but it's not a good reason.  We just didn't get it into view_my_scores.
Zhewei: When I went thru your code, I saw some partials that were very like  partials already in the system.  It would be better not to write SQL queries in the code.
 A. I recommended to my teammates that we should use ≈ ghosts to filter out …  Also, code in view tests to see if it's the student view.  We wanted to replace them with a check of the role name instead of the view name.
Michael: I don't know what we did in testing; most of the code was committed in the last 24 hrs.  But they did put in some tests.  Zhewei: They did not write feature (or functional) tests.  But I think it's OK; most of their changes are on the view.  He doubts that the tests follow the test plan.
Michael was the only one at the demo.  It seems like he did most of the work."</t>
  </si>
  <si>
    <t>Very good overview of the changes you were going to make.  Diagrams and screenshots are useful.  Prose is easily understandable.  Would be good to update the mockups with real screenshots now that the project is done.  I concur with the reviewer's comments about the class diagram having room for improvement.</t>
  </si>
  <si>
    <t>E1734</t>
  </si>
  <si>
    <t>dpatel12 sgonsal ssingh24 trichmo</t>
  </si>
  <si>
    <t xml:space="preserve">http://wiki.expertiza.ncsu.edu/index.php?title=CSC/ECE_517_Spring_2017_E1734
https://github.com/trichmon91/expertiza
https://github.com/expertiza/expertiza/pull/948
https://youtu.be/PEcrgxgfVJ4
</t>
  </si>
  <si>
    <t>"they demoed assigning and taking course surveys.
They also did some migration to make the old data usable."
"From the admin menu, deploys a survey.
It is sent out to all assgt. participants.
You can see your surveys, &amp; public ones.
Global survey is appended to the assgt. survey.
Shows the list of deployments.
Currently there are no responses.
He then logs in as the single participant.
You can see a list of pending surveys, then take one. [Is it a good idea to have this step?]
He can then see survey deployments &amp; charts.
[But it is pretty degenerate w/just 1 student.]
You can delete a survey, but the notifier just asks, “Are you sure?” without saying what it is asking about.
Currently, due to a bug, it takes the oldest global survey, not the newest one.
They changed 54 files!  Hard to believe that's good!
Good diagrams in documentation, but relatively little prose description."
"Add a new survey and include the global survey
Visualize the response in a pie chart, but it wasn't working in the demo
"</t>
  </si>
  <si>
    <t>Document much improved in second round.  I agree with the comments about too much of the testing being manual, and also there could be a more detailed description of how the various surveys were intended to be used.  Other than that, I think it's great.</t>
  </si>
  <si>
    <t>E1733</t>
  </si>
  <si>
    <t>qyu4 rmyers ylu36 avalkov</t>
  </si>
  <si>
    <t>http://wiki.expertiza.ncsu.edu/index.php/CSC/ECE_517_Spring_2017_E1733_Text_metrics
https://github.com/rmmaily/expertiza
http://76.182.45.13:3000/
https://github.com/expertiza/expertiza/pull/937</t>
  </si>
  <si>
    <t>"The db design looks good to me. 
The text metrics are calculates when a response is saved/submitted."
"It analyzes the review and show the # of suggestions, bad words, and the average in an assignment.  
store keywords in yml files. show the link to the metrics in the report.
"
Some part of code is hard-coded, which means these code is not extensible.
"The video should’ve been on a video server, not downloadable.
He types in 23 words in a review.
I’m not sure what he uses for suggestions, problem words, &amp; offensive terms.
  The words falling into these categories are not highlighted in any way (Zhewei: was not in the req'ts.).
There is a very small list of such words.
The list is loaded when the server starts up.
Also, the word count seems to be a count, not volume.
It's not clear what the ""average"" is of.
I see no usefulness to this project!
For instructor, the metrics column has (only) a link to get the statistics.
Calculations are done in diff. places for student &amp; instructor view.
Tests deleted because they were not working.
"</t>
  </si>
  <si>
    <t>Though there are elements of the design I don't like, it is hard to argue with the way the design doc presents it.  All of the necessary features are present.  Perhaps the list of files changed should have explanations of why they were changed.  Perhaps the screenshots should be sized so that they fit within a text column.</t>
  </si>
  <si>
    <t>E1732</t>
  </si>
  <si>
    <t>aananth3 myelava rmandav sguddet</t>
  </si>
  <si>
    <t xml:space="preserve">http://wiki.expertiza.ncsu.edu/index.php/CSC/ECE_517_Spring_2017/E1732_Additions_to_logging
http://youtu.be/mumBn4wYHtM
https://github.com/expertiza/expertiza/pull/954
</t>
  </si>
  <si>
    <t>"Table of assignments has lines around it, both in instructor &amp; student view.  Why?
[Audio is not very clear, mumbling at times.]
Shows that a student can't view the log.
New controller, activities_controller [should be logging_controller, no?]
  Well, the gem they used calls them activities.  But even so ...
Log shows login, logout, impersonation, assgt. creation
When you switch from impersonating one person to another, it says the first person impersonated the second.
You can look at activities on a particular date.  They could add a time (should we ask for that?)
Add a new partial for each activity you want to ?log?.
Some RSpec tests for models."
"Activities/index page shows all the students activities.
A search box of user name.
A time search for the activities on specific date."
"log students when they log in, log out. show activity logs that shows the users, models, times etc..
if an instructor impersonate user A then user B, the log thinks that user A impersonates user B, which can be confusing. 
the current time filter that is supported is 1 date, which might not be useful since nearing the due dates there will be a lot of activities. it might be useful to have a time range (with either a slider or 2 fields for time input). the input field is a bit confusing since it's not labeled, I'd expect that I could filter the logs based on any column.  "
"They used a gem to achieve logging. They put all the logging message as partials, which is not decent. Some partials has only one line. There must be a better way to do it. For instance, if there are only several types of logging messages, we can concatenate texts in helper file.
Their pull request is messy with many empty files.
No test."</t>
  </si>
  <si>
    <t>I would like more info on what is logged, and what controllers were modified to do it.  It appears that creating courses, editing courses, creating assignments, and editing assigments are covered.  It would be good to make this explicit by giving a list.  Also, I'd want to know if there's a reason that other activities, like creating users or teams, were not logged.  Are these straightforward extensions for future work?</t>
  </si>
  <si>
    <t>E1731</t>
  </si>
  <si>
    <t>nvinchh ppraman2 psvaidya qalokoz</t>
  </si>
  <si>
    <t>http://wiki.expertiza.ncsu.edu/index.php/CSC/ECE_517_Spring_2017/E1731_Improve_Score_Calculation
https://github.com/expertiza/expertiza/pull/944
https://www.youtube.com/watch?v=Dyn0EiEHHFo</t>
  </si>
  <si>
    <t>Tests didn't cover much. 
"Added a new icon, Save scores in db.  Then all the scores in the assgt. will be saved in the db.
When so. wants to view scores, the compute_total_score method is called, &amp; it checks whether local_stores_calculated [shouldn’t it be “stores_scored”.  Yes, they will change it.]  And can’t it be done by polymorphism? (No, because the class name is used, since it's a class method.)
OnTheFlyCalc changed from method to class, and all methods changed to static.
(I forgot the rationale for this.)
They show a test to see if count ^s after a new score is stored.
"
"1) Saving all review scores in DB - Seems like it is works. There may exist an issue with the DB as lot of scores are shown as zero.
2) Added new icon - Icon clearly depicts its meaning"</t>
  </si>
  <si>
    <t>Good work … explains functionality well.  Could use a screenshot or two.</t>
  </si>
  <si>
    <t>2017 Spring OSS</t>
  </si>
  <si>
    <t>E1730</t>
  </si>
  <si>
    <t>ssingh24 sgonsal qalokoz</t>
  </si>
  <si>
    <t xml:space="preserve">http://152.46.17.215:3000
https://github.com/sid5788/expertiza
https://youtu.be/d7zuJanDLE4
http://wiki.expertiza.ncsu.edu/index.php/CSC/ECE_517_Spring_2017/E1730._Override-review-grader_pre-sort
https://github.com/expertiza/expertiza/pull/920
</t>
  </si>
  <si>
    <t>Code checks for the name of the metric, and does so in several places.  It would be much better to have it retrieve the metric name from the db, and perform any actions specific to the metric (e.g., re-sending the first sentence) in a subclass.  See comments on pull request.  However, functionality does work well.</t>
  </si>
  <si>
    <t>It would be helpful to have some kind of intro and perhaps also a summary giving the big picture.  The writeup as it is is just a series of changes, with no explanation of why the change was made, or how it fits into the overall goal of the project.  To understand what you have done, the reader will likely have to read the text over and over again, trying to figure out how everything fits together.</t>
  </si>
  <si>
    <t>E1729</t>
  </si>
  <si>
    <t>vchawla3 aapatel8 kmishra</t>
  </si>
  <si>
    <t xml:space="preserve">http://wiki.expertiza.ncsu.edu/index.php/CSC/ECE_517_Spring_2017/oss_E1729
http://152.46.16.143:3000/
https://github.com/kkushagra/expertiza/tree/exportdetail
https://github.com/expertiza/expertiza/pull/915
</t>
  </si>
  <si>
    <t xml:space="preserve">Great job. the requirements are fulfilled. Code is nicely commented. A minor suggestions for the UI: (1) The delimiter setting could have been unified with the previous one (DRY). (2). The Export detail UI could've been on the right side of the existing one, so the page doesn't need to be scrolled down. (3) I just realized that scrolling the exported CSV to find different response maps is a pain. we should've decided to put them in different tabs, which make it easier for the users to see. </t>
  </si>
  <si>
    <t xml:space="preserve">The test plan is outstanding. very detailed and logically structured. It could be improved by comparing the #of active records with #of lines in the CSV. or if all student participants in the CSV, etc. It's a shame that the design desc has too many code snippet, copied pasted from the source code, which I could have checked directly in GitHub. I would expect a more high level pseudocode / UML diagram for the documentation. </t>
  </si>
  <si>
    <t>E1728</t>
  </si>
  <si>
    <t>mhhassan pdscott2 avalkov</t>
  </si>
  <si>
    <t xml:space="preserve">https://github.com/mhhassan/expertiza/tree/feature/E1728_Move_Javascript_Code_For_Scores_To_Assets
http://csc517.eastus.cloudapp.azure.com:8080/
http://wiki.expertiza.ncsu.edu/index.php/E1728._Remove_useless_partials_from_grades_view_and_move_view_logic_to_grades_helper.rb
</t>
  </si>
  <si>
    <r>
      <rPr/>
      <t xml:space="preserve">Overll, the code looks ok, except the </t>
    </r>
    <r>
      <rPr>
        <rFont val="Comic Sans MS"/>
      </rPr>
      <t xml:space="preserve">participant </t>
    </r>
    <r>
      <rPr/>
      <t>method in grades_helper.rb is unnecessary. I think you can use activereacord to handle it. (see https://github.com/expertiza/expertiza/pull/911)</t>
    </r>
  </si>
  <si>
    <t>This description will be hard to read, because long sequences of code are included without any narration, and without showing what was changed.  It would be better to use Github's diff feature to show deleted code with a red background and added code in green.  Or, if this would be too verbose, at least the difference between new and old should be described.  Test plan looks good.</t>
  </si>
  <si>
    <t>E1727</t>
  </si>
  <si>
    <t>asorgiu george2 jbcrick</t>
  </si>
  <si>
    <t xml:space="preserve">http://138.197.104.185:3000/
http://wiki.expertiza.ncsu.edu/index.php/CSC/ECE_517_Spring_2017/oss_E1727
https://github.com/asorgiu/expertiza/tree/E1727SignUpSheet
</t>
  </si>
  <si>
    <r>
      <rPr/>
      <t>LGTM, except use</t>
    </r>
    <r>
      <rPr>
        <rFont val="Comic Sans MS"/>
      </rPr>
      <t xml:space="preserve"> create</t>
    </r>
    <r>
      <rPr/>
      <t xml:space="preserve"> to create test records in helper tests may be overkilled. Using </t>
    </r>
    <r>
      <rPr>
        <rFont val="Comic Sans MS"/>
      </rPr>
      <t xml:space="preserve">build </t>
    </r>
    <r>
      <rPr/>
      <t>key word is enough, I think. (see https://github.com/expertiza/expertiza/pull/913)</t>
    </r>
  </si>
  <si>
    <t xml:space="preserve">The introduction does not give a good picture of what the project is about.  It should describe a signup sheet and state why it is important to get complicated logic out of the main view file.  It would be very useful to show the changes (e.g. using a Github diff).  Good test plan.  </t>
  </si>
  <si>
    <t>E1726</t>
  </si>
  <si>
    <t>aarivan grathna apandey6</t>
  </si>
  <si>
    <t xml:space="preserve">http://152.46.17.17:3000/
https://github.com/gokkulasudanr92/expertiza/tree/e1726_spring2017
http://wiki.expertiza.ncsu.edu/index.php/User:Aarivan
</t>
  </si>
  <si>
    <r>
      <rPr/>
      <t xml:space="preserve">Including </t>
    </r>
    <r>
      <rPr>
        <rFont val="Comic Sans MS"/>
      </rPr>
      <t xml:space="preserve">ApplicationHelper </t>
    </r>
    <r>
      <rPr/>
      <t>in model file is not a good idea; there should be some other ways to do it. The reason why the travis ci failed seems that they manually delete L436, instead of commiting the schema.rb after running migrations.</t>
    </r>
  </si>
  <si>
    <t>The page title needs to be changed (i.e., the page needs to be copied over to a new page with the requisite title).  It should be named after the project,, E1726, not the author.  But other than that, it is a very informative writeup.</t>
  </si>
  <si>
    <t>E1725</t>
  </si>
  <si>
    <t>E1724</t>
  </si>
  <si>
    <t>mdunlap ylu36 remcelfr</t>
  </si>
  <si>
    <r>
      <rPr>
        <rFont val="Arial"/>
        <color rgb="FF000000"/>
        <sz val="10.0"/>
      </rPr>
      <t xml:space="preserve">https://github.com/expertiza/expertiza/pull/910#issuecomment-288236086
https://www.youtube.com/watch?v=2socYN13x_s
</t>
    </r>
    <r>
      <rPr>
        <rFont val="Arial"/>
        <color rgb="FF1155CC"/>
        <sz val="10.0"/>
        <u/>
      </rPr>
      <t>http://wiki.expertiza.ncsu.edu/index.php/CSC/ECE_517_Spring_2017/E1724</t>
    </r>
    <r>
      <rPr>
        <rFont val="Arial"/>
        <color rgb="FF000000"/>
        <sz val="10.0"/>
      </rPr>
      <t xml:space="preserve">
</t>
    </r>
  </si>
  <si>
    <t>Overall, they did a good job. See comments in pull request (see https://github.com/expertiza/expertiza/pull/910)</t>
  </si>
  <si>
    <t>Strengths: Good motivation and description of the changes made. Relevant code snippets shown in place. Weaknesses: While the code is described, the individual snippets are not, requiring the reader to figure out why those snippets have been changed. Does not show "before" and "after" (though sometimes it's too verbose to do this). Abrupt ending.</t>
  </si>
  <si>
    <t>E1723</t>
  </si>
  <si>
    <t>E1722</t>
  </si>
  <si>
    <t>djgutier jabales</t>
  </si>
  <si>
    <t xml:space="preserve">https://github.com/balesj/expertiza/tree/heat_map_review_testing
http://wiki.expertiza.ncsu.edu/index.php/CSC/ECE_517_Spring_2017/Test_heat_map_for_viewing_scores
https://github.com/expertiza/expertiza/pull/917
</t>
  </si>
  <si>
    <t>Although we merged your pull request, your tests only check the static content in the views, such as the title of the report. You did not check any dynamically generated content, such as grade scores.  It is dynamic content that is likely to fail, so that is the most important content to check.</t>
  </si>
  <si>
    <t>Wrtieup should have the project number in the title.  This is a very straightforward description of all the tests.  It would really help to add a paragraph listing and summarizing the tests, so the reader could see at a glance what you have done.</t>
  </si>
  <si>
    <t>E1721</t>
  </si>
  <si>
    <t>psvaidya agogula dguttik</t>
  </si>
  <si>
    <t xml:space="preserve">http://152.7.99.101:3000/
https://github.com/psvaidya/expertiza
http://wiki.expertiza.ncsu.edu/index.php/CSC/ECE_517_Spring_2017/Use_Ajax_to_add_Participants,TA_and_Edit_Questionnaire
</t>
  </si>
  <si>
    <t>The code is clean with some comments. When I added the same TA in a course, it keeps adding without any error, which was an existing bug, however the team managed to fix it in a short time. nice work! Unfortunately, they didn't manage converting the rubric editing interface to Ajax, which is probably ok since we plan to replace it with a drag and drop UI in the future.</t>
  </si>
  <si>
    <t>It contains info how it's implemented, what was the problem, and how they approached the solution. however, I'd expect more high level logic explanation using UML or similar diagram rather than many screenshots which can directly be seen from a pull request page (had they added it).  The structure of the test plan is good, however they only define test plan for the main scenario, the alternative scenarios are not defined e.g., what if the TA is already added</t>
  </si>
  <si>
    <t>E1720</t>
  </si>
  <si>
    <t>mbhatt rmyers spanaka</t>
  </si>
  <si>
    <t xml:space="preserve">https://github.com/rmmaily/expertiza
http://wiki.expertiza.ncsu.edu/index.php/CSC/ECE_517_Spring_2016/E1720._UI_issues/fixes
http://76.182.45.13:3000/
https://github.com/expertiza/expertiza/pull/931
</t>
  </si>
  <si>
    <t>Issue #702 &amp; #316 are prefectly done. Initially, the notification design wasn't as expected. The notification is hiden once the user reload the page / go to other link, which can make them miss the information. However, Randal managed to change the design after a short notice. Now, it allows the users to close the notification manually, The topic table is rendered strangely, no cells under the advert. column.  Few comments in the code &amp; they left an unfinished test module:
describe 'notification' do
  it 'should do something' do
    true.should == true
  end
end</t>
  </si>
  <si>
    <t xml:space="preserve">It contains info how it's implemented, what was the problem, and how they approached the solution. however, lots of it is copied pasted from the code, instead of trying to explain using UML or other diagrams. They only defined manual UI test, no rspec tests defined. It's a shame, the group should have consulted the notification design with users before it's implemented, but in the end they delivered the expected design.  </t>
  </si>
  <si>
    <t>E1719</t>
  </si>
  <si>
    <t>E1718</t>
  </si>
  <si>
    <t>vhegde rpmee crajase</t>
  </si>
  <si>
    <t xml:space="preserve">http://wiki.expertiza.ncsu.edu/index.php/CSC/CSC_517_Spring_2017/oss_E1718
https://github.com/crajase/expertiza
http://152.46.17.176:3000/
</t>
  </si>
  <si>
    <t>This project largely meets the requirements. But you created a method named "filter_least_reviewed ", which is exactly the same as "reject_by_last_reviewed" method. You changed one legacy migration file, which is not correct. And one of your migration file named "add_num_reviews_to_assignments", but what it did is changing the default value of columns. (See https://github.com/expertiza/expertiza/pull/931)</t>
  </si>
  <si>
    <t>Code snippets are shown, but only the new code, not the old code that was modified.  In the introduction, the description of what is done when the current reviewer has reviewed the least-reviewed submission is wrong; it says that the threshold is increased by m.  In fact, only the threshold for the current reviewer is increased.  This is clarified later in the writeup.  Good description of what the code changes do.</t>
  </si>
  <si>
    <t>E1717</t>
  </si>
  <si>
    <t>Improve imports</t>
  </si>
  <si>
    <t>E1716</t>
  </si>
  <si>
    <t>myelava rpothir skkulkar</t>
  </si>
  <si>
    <t xml:space="preserve">http://152.46.19.151:3000/
https://github.com/manoj4269/expertiza
https://github.com/expertiza/expertiza/compare/master...manoj4269:master
http://wiki.expertiza.ncsu.edu/index.php/CSC/ECE_517_Spring_2017_E1716-_Improving_email_notifications
</t>
  </si>
  <si>
    <t>They use `should_receive` in tests, which is an old syntax. They should use `expect` keyword instead.  Some method names are very confusing.  If a method causes e-mail to be sent, it should have email_ in its method name. Pull request is really messy (secrets.yml, database.yml).
The email templates should be stored in app/view/mailer/partials</t>
  </si>
  <si>
    <t>There are strengths and weaknesses in this writeup: Strengths: It is a very complete description of the changes made, with relevant code snippets provided, showing the changes made to the code. Weaknesses: The text tends to be wordy and repetitive (could be condensed considerably), and did not follow coding conventions for sections of wiki pages, which means that the individual changes don't show up in the table of contents.</t>
  </si>
  <si>
    <t>E1715</t>
  </si>
  <si>
    <t>E1714</t>
  </si>
  <si>
    <t>srashid3 trichmo asridha4</t>
  </si>
  <si>
    <t xml:space="preserve">https://github.com/srashid3/expertiza
http://wiki.expertiza.ncsu.edu/index.php/CSC/ECE_517_Spring_2017_E1714
http://152.7.99.165:3000/
</t>
  </si>
  <si>
    <t>They definitely implemented what was required in the requirement. the functionality also works for instructors adding team to waitlist as well. The code was done in a clean way (e.g., calling re-asisgn topic method). One issue I (Yang) don't like is that the code brings the instructor to another page which assigning topics to students. In addition, it does not bring instructor back to the "topics" tab after assigning  a topic. 
It would be better if instructor can specify several students ids when assigning topics, if those students can be formed into a team, a team can be formed automatically. The "delete" icon is not the icon for dropping topics on students UI.
From the writeup, it seems like this might not work if there is more than one slot for a topic.  They differentiate between "No choosers" and 1 team being signed up.  Before grading, someone should check whether it works when there are, say, 3 slots for a topic.  [Later] Upon reviewing the code, it appears that they just call existing methods for adding teams to topics, so it should work correctly.</t>
  </si>
  <si>
    <t>It would definitely help to see screenshots of the functionality.  Also, writeup does not specify what happens when there is more than one slot for a topic.  When showing modifications, it is good to show before &amp; after snippets, e.g., cutting &amp; pasting from the Github diff.</t>
  </si>
  <si>
    <t>E1713</t>
  </si>
  <si>
    <t>nvinchh mamoran dpatel12</t>
  </si>
  <si>
    <t xml:space="preserve">https://github.com/michaelamoran/expertiza
http://wiki.expertiza.ncsu.edu/index.php/CSC/ECE_517_Spring_2017/oss_E1713
http://152.7.98.235:3000
</t>
  </si>
  <si>
    <t>Test cases are failing. An error with no message when setting max penalty &gt; 50, (Message should say max penalty of 50). A new policy/changing policies for "Final Project (and Design Document)" throwis errors. There are still many code climate issues.</t>
  </si>
  <si>
    <t>Somewhat hard to follow because penalty object was not defined.  Should have been described like late_policy.  Writeup showed the "after" version of code, but not "before", so the two couldn't be compared.</t>
  </si>
  <si>
    <t>E1712</t>
  </si>
  <si>
    <t>rmandav sguddet aananth3</t>
  </si>
  <si>
    <t xml:space="preserve">http://wiki.expertiza.ncsu.edu/index.php/CSC/ECE_517_Spring_2017/oss_E1712
http://152.46.20.227:3000/
https://github.com/expertiza/expertiza/pull/922#partial-pull-merging
</t>
  </si>
  <si>
    <t xml:space="preserve">They made reasonable efforts on refactoring the code. The UI changes are done on "your team" page as well. There are some broken functionalities, I will add more details to their pull request. I also found bad variable names like @inv, user, student etc, some of them are identical to classes that already exist, and some aren't clear what they're supposed to be. </t>
  </si>
  <si>
    <t>check_users is a bad method name (what are they being checked for?).  Should be something like eligible_to_join.  Ditto for check_team.  Why isn't cancel called retract?  Good documentation of testing scenarios.</t>
  </si>
  <si>
    <t>E1711</t>
  </si>
  <si>
    <t>ahasket bzamani ppraman2</t>
  </si>
  <si>
    <t xml:space="preserve">http://152.46.18.218:3000/
http://wiki.expertiza.ncsu.edu/index.php/CSC/ECE_517_Spring_2017_E1711
https://youtu.be/okm0PWxDAEk
https://github.com/redsock88/expertiza/pull/1/
https://github.com/redsock88/expertiza/blob/oss-project/README.md
</t>
  </si>
  <si>
    <t>Travis CI build doesn't pass, there seems to be a problem with the test. see comment about the code on Github. Maybe we can partially merge the test part. For perform method, you did not use polymorphism and single-table inheritance as requested.
You changed the factories.rb, which is beyond the requirement. Some of your test cases only assign values to variables, without any exceptions that could cause the test to fail. These tests are useless. (See https://github.com/expertiza/expertiza/pull/925) 
The scheudled task should not be deleted, instead, it should be a super class of delayed_mailer.rb. Another subclass of sheduled task can be dropping single person teams. We can add more subclasses of scheduled task later (e.g., pulling metadata from Github.)</t>
  </si>
  <si>
    <t>Very good writeup, as far as it goes.  Good discussion of test cases and reasons for refactoring.  It would have helped to see some code snippets.  Good section on Future Refactoring Opportunities.</t>
  </si>
  <si>
    <t>2016 Fall Final</t>
  </si>
  <si>
    <t>E1710</t>
  </si>
  <si>
    <t>E1709</t>
  </si>
  <si>
    <t>kkapoor aagrawa6 mshaikh akshetty</t>
  </si>
  <si>
    <t xml:space="preserve">http://wiki.expertiza.ncsu.edu/index.php/CSC/ECE_517_Fall_2016_E1709_Visualizations_for_instructors
https://github.com/expertiza/expertiza/pull/861
https://github.com/akashag26/expertiza
https://www.youtube.com/watch?v=_fp4YYCgY2w&amp;feature=youtu.be
https://youtu.be/mRgT9vdIizk
https://github.com/expertiza/expertiza/pull/870
http://152.46.20.167:3000/
</t>
  </si>
  <si>
    <t>"Video 1: A combo box shows performance on any subset of rubric criteria.  It is keyed on the primary key of the criterion, which is somewhat bizarre--why doesn’t it use 1, 2, 3, 4 …
(They say because it's an OSS project &amp; the instructor might want to know the primary key to edit the criterion.)
Would be good to show SD as well as means of the score given to particular criteria.
[They confuse ""rubric"" with ""rubric criterion.""]
Added a new gem to generate the graph ... this is not a good idea.
Video 2: This is of the review report.  There is now a dropdown asking what metric the user wants to see on the display.
Review summary is one of the metrics …. I think this is a bad use of screen space.  Requires an extra click to see the review summary, which would be inconvenient.
Does this replace the current review report?  I would shy away from using it, then.  I thought the old review report was pretty usable.
Also, the only review reports shown are of students who did only one review.  What happens if they do more reviews?
Can sort on reviewers' names too, and average volume (if you sort on Metric column, that's what you get).
Code hardcodes volume for 3 rounds of review ... but so did Zhewei.  However, the 3 rounds could be merged into 1 inner loop.  It is coded like this in multiple places.
Looks like the metrics are hardcoded too, instead of being put in a list that each has a method associated with them.
Created class_performance_controller.rb"
"Visualizations for instructors
They used the gem 'scruffy' to build graph, but there is a 'highchart' gem already.
Some duplicated code in their pull request."
"class performance by rubric on a bar chart, unfortunately the colors don't fit Expertiza's theme. 
show different metrics on the review report depending what the user select (there is a multi select box on top of the table)
The metrics are shown in one column, which could be confusing. It might be better to put each metric on a different column. 
could've done the test for calculating performance
"</t>
  </si>
  <si>
    <t>A few reviewers said that the design doc explains the requirements, but not how your team is going to achieve them.  We agree.  Most of the changes are changing names, which doesn't require any explanation.  The doc should focus on what you are going to create, rather than show what is in the current system.  You're going to add an "Update" link for the expert reviews, but didn't say anything about what code will be changed to do this.  And there is no testing plan.</t>
  </si>
  <si>
    <t>E1708</t>
  </si>
  <si>
    <t>amedhek arai arattili cahuja2</t>
  </si>
  <si>
    <t>http://wiki.expertiza.ncsu.edu/index.php/CSC/ECE_517_Fall_2016_E1708:_Improvements_to_staggered-deadline_assignments
https://github.com/expertiza/expertiza/pull/877
https://youtu.be/c9aFHfWSgMg</t>
  </si>
  <si>
    <t>"Student cannot get the topic if the deadline has already passed in staggered_ddl_assgts. But it seems that if a topic is available or not depends on if the first submission ddl is passed or not...
When setting up the due dates, they can be n days away for the first ddl. Then the due dates will be filled in automatically.
If there is a new response that student submitted after the review has been graded, the new review will be highlighted in blue color."
"Shows that there is no ability to select a topic whose deadline has passed [which deadline, initial submission?  Yes.]
On the relative-deadline screen, does the increment column only appear on staggered-deadline assgts.?  No, it appears all the time.  I tell them to squeeze out the whitespace betw. the date&amp;time column, &amp; the increment column.
Then, how to identify new submissions &amp; reviews.  The review shows up in a diff. color, but how about the submission?  [Not yet.]  The review changes back to the same color as others after grading.
Wrote two tests, for signup_sheet_helper and for review_mapping_helper."
"Staggered deadline -&gt; relative deadlines functionality added, works.
Ungraded assignment highlighting -&gt; changed coloring for the ungraded submissions."
"prevent anyone to sign up a topic whose submission deadline has passed. It check if the instructor has set a different deadline for a topic, if not, then take the deadline of the assignment.
chose a relative date based on the initial submission date i
ability to override and manually enter a custom date"</t>
  </si>
  <si>
    <t>The document covers all of the necessary items, but really does not explain in much detail how the team will accomplish the tasks.  The "No of people" label would better be called "# responses".</t>
  </si>
  <si>
    <t>E1707</t>
  </si>
  <si>
    <t>rnambis rkadeku asingh26 vmuruga</t>
  </si>
  <si>
    <t xml:space="preserve">http://wiki.expertiza.ncsu.edu/index.php/CSC/ECE_517_Fall_2016_E1707:_Top_trading_cycles_to_exclude_previous_teammates
https://github.com/expertiza/expertiza/pull/863
https://youtu.be/hQMph16COxg
</t>
  </si>
  <si>
    <t>"Forming teams w/students who do not have any history between them.
First one logs in.
But Student A teamed w/Student B, and Student C teamed with Student D.
“Do you wish to have a new team member allocated for this project?” Wording should be improved.
But. implementation looks pretty nice!
The students who are teamed don’t have history between them.
  But there are only 4 students in this assgt., &amp; the team assignments are thus completely constrained.
Extended student_history method to take a new arg., so some tests were on that.  And the flag for wanting a new member.
They do check that the person has teamed with the other people _in this course_.
  Shoaib: Students can still be on the same team as before, if it wasn't possible to swap them.
On the documentation, the first flowchart does not have enough context, is not clear.
10 automated tests!
A couple of methods, including one partial, look quite a bit too long.  Otherwise, I think the project is great.
Ultimately, after audio was added, the video was very helpful."
"- Previous members history
- Top Trading Cycles
- Added new columns to teams table to show new members
- Top Trading Cycles test cases (verifying swap functionality)
- Makes sure no student is in a team with another student they have worked with before (this is a possibility with top trading cycles, though they may not have been aware)
- Teams can opt out of Top Trading Cycles
- Can abstain from adding new team members"</t>
  </si>
  <si>
    <t>The document says what is to be done, but provides very little detail on how it is to be accomplished.  For example, how are you going to refactor the code?  The purpose of the workflow diagram is unclear.  The top part looks like a plan for refactoring, the bottom half is a plan for an integration test.</t>
  </si>
  <si>
    <t>E1706</t>
  </si>
  <si>
    <t>rmehta4 assinsin mhpandya jkumar3</t>
  </si>
  <si>
    <r>
      <rPr>
        <rFont val="Arial"/>
        <color rgb="FF1155CC"/>
        <sz val="10.0"/>
        <u/>
      </rPr>
      <t>https://docs.google.com/document/d/1M8NSwTErZyfBjB5rHtmsV5JAY3bjWlFt6rfhOxHNLsI/edit</t>
    </r>
    <r>
      <rPr>
        <rFont val="Arial"/>
        <color rgb="FF000000"/>
        <sz val="10.0"/>
      </rPr>
      <t xml:space="preserve">
https://github.ncsu.edu/rmehta4/SingleSignOn
https://signon-flask.herokuapp.com/
https://youtu.be/mGdYoyFivh0
</t>
    </r>
  </si>
  <si>
    <t>"Idea is to stop randoms from coming &amp; using Peerlogic web services w/o identifying themselves.
Video shows them signing in through Google w/Heroku service.
Much of the rest is on token mgt.
Python, SQLite, oauth framework
Code needs more comments."
"Single sign on framework for the web services
user page to maintain token
admin page to authorize request
deny access when token is not yet authorized
code is a bit rough, but with a bit of refactoring, it could be used for PeerLogic web service authentication"</t>
  </si>
  <si>
    <t>From the flow chart, you may got confused on the requirement: if the assignment is not finished, it is not necessary to write the score to local_db_score table. Instead, it should be done after the assignment is finished. Use case diagram got displayed twice. Didn't provide enough detail about how ho the new code will be added, though.</t>
  </si>
  <si>
    <t>E1705</t>
  </si>
  <si>
    <t>rbhatt pchheda srjhawar nsingh9</t>
  </si>
  <si>
    <t xml:space="preserve">http://wiki.expertiza.ncsu.edu/index.php/CSC/ECE_517_Fall_2016/E1705._Tracking_the_time_students_look_at_the_others%27_submissions
https://www.youtube.com/watch?v=EopJ2XV43LI
https://github.com/expertiza/expertiza/pull/875
</t>
  </si>
  <si>
    <t>"Shows events that cause time to start &amp; stopped being tracked.
If the user doesn’t do anything for 20 s., a time pops up &amp; asks reviewer if he is still on this page.  (Now the value is set to 5 min.  The time is hardwired into the code.)
I don’t like the idea of adding this to review report, which is already pretty crowded.  But they say that you can see just the #s till you can click.  And you might want this info when grading ...
But clicking on a student who has done several reviews … which review does this display time for?  (It shows a composite of all of them.)
Code looks OK, but reviewer_details.rb is an awful name (they say it was a pre-existing file, though.)
"
"The time the user is checking the submission is tracked. when the user is not on the review page (inactive) more than 20 minutes, they get a popup asking if they are still reviewing to make sure if the reviewer is still there.
I think the features will help studying how reviewers spend time and how it impacts their learning. "</t>
  </si>
  <si>
    <t>Includes all the major elements, in a very readable format.  The one weakness is that it does not go into detail about how the project will be implemented.  It discusses changes to the db but not to the code.</t>
  </si>
  <si>
    <t>E1704</t>
  </si>
  <si>
    <t>E1703</t>
  </si>
  <si>
    <t>aanilku sjha4 ssharm25 prtanksa</t>
  </si>
  <si>
    <t>http://wiki.expertiza.ncsu.edu/index.php/CSC/ECE_517_Fall_2016_E1703:_Logging_for_Expertiza
http://152.46.20.12:3000/
https://github.com/expertiza/expertiza/pull/893
https://youtu.be/v-Q5fRYLju0</t>
  </si>
  <si>
    <t>"@@event_logger, I don't see any reason we have to use this instead of using static methods.
most of the tests for logger were commented."
"They added a new logging table
Two functions for user: view &amp; search logs.
There is a new logger class.
The table of events (login, logout) seems pretty big; could easily have left less space betw. items.
        And the names are verbose too, e.g. “Course name: Test course)
Can sort events by type.
        Create course, log in, log out, modify advice, remove TA
About 15 controllers changed.
Can be added by adding more events logged.
        You just have to add the logging statement.
The logging code is called from the controller methods.
Unfort. logging statements are in middle of code, not as before_action.  Should be done as before_action, or via a table in application_controller.
Wrote 4 tests but only 1 worked.
Design doc is brief, shows what they are going to implement, has not bee updated (doesn't say how they did it)."
I am not sure using global variable "@@event_logger" is a good idea or not. The action adding info to log file can be put in before_action section.</t>
  </si>
  <si>
    <t>The wiki page covers all necessary items, but "test plan" part can be more elaborated. And the last screenshot is useless, it will be better to show the db records, instead of table structure as mentioned during demo.</t>
  </si>
  <si>
    <t>E1702</t>
  </si>
  <si>
    <t>amajumd asmotiwa vgupta8 psnakhwa</t>
  </si>
  <si>
    <t>http://wiki.expertiza.ncsu.edu/index.php/CSC/ECE_517_Fall_2016_E1702_Lightweight_badging_system_based_on_Credly
https://github.com/expertiza/expertiza/pull/857
https://www.youtube.com/playlist?list=PLdDBHYYDZueeGNdQtzS2FfI-eC0-SK6cb</t>
  </si>
  <si>
    <t xml:space="preserve">
They did what we asked.
"4 badges
  Top score [for team]
  Good reviewer
  ...
Video shows that right people have badges.
Score calc. is too slow, so they will comment out that code for the rest of the video.
I think the badges take up too much space in the view.
What are the rules for defining badges?
It seems the badge icons are big &amp; ugly ... cut off at bottom.
All badges show up on assignments; if not specific to an assgt., at the last assgt.
There is a way to create a new badge.  You have to change a # of badges construct in UI.
  Current badges are hardwired into code.
There were no tests for student_task_list and participants controller.
  Automated some tests for these controllers, but not badging excplictly, though it is called.
Doc appears to be pretty good.
  Code is heavily commented, Anubhab says."</t>
  </si>
  <si>
    <t>Very good job, including all the major elements: prose descriptions, screenshots, code snippets showing what was changed, and testing.</t>
  </si>
  <si>
    <t>E1701</t>
  </si>
  <si>
    <t>nzlu htan5 jdeng8 zli36</t>
  </si>
  <si>
    <t>http://wiki.expertiza.ncsu.edu/index.php/CSC/ECE_517_Fall_2016/E1701._Accelerate_RSpec_testing
https://docs.google.com/document/d/1ADimyCmUzds2lDZvpy0arZV3moMyMU3qxV3EAInqccM/edit#
https://youtu.be/9y0i-zSRHe8
https://github.com/expertiza/expertiza/pull/876</t>
  </si>
  <si>
    <t>A new testing DB is provided.
"One idea is to cut down on the # of objects created at the start of a test.  This is done by putting objects in the test db.
But data is not rolled back after each test.
A large part of the video is playing tests that are running, w/no narration.
They shortened one test from 1:37 to 1:10.
They covered most feature tests."
"Test DB creation. And they change 12 feature test files.
They did want we required."</t>
  </si>
  <si>
    <t>I do not think your UML is correct. (should not include github pull request and github repo, etc.) You pasted a lot of code. It will be better to explain what each piece of code does.</t>
  </si>
  <si>
    <t>E1700</t>
  </si>
  <si>
    <t>asagarwa mmmasale sramakr9 sagupta</t>
  </si>
  <si>
    <t xml:space="preserve">http://wiki.expertiza.ncsu.edu/index.php/CSC/ECE_517_Fall_2016/_E1700_Integrate_Google_doc_editor/viewer
https://github.com/expertiza/expertiza/pull/884
https://www.youtube.com/watch?v=ej_PsH4wnd8
</t>
  </si>
  <si>
    <t>Originally I thought this project will embed Google doc to Expertiza, but it turn out that they handles the Google doc link differently and this is the only work they did...
"They wanted to use Google drive to automate file creation, but due to lack of documentation &amp; examples, this was not poss.
A field in new assgt. creation is to enable anonymous comments on Google docs.  Adds a col. to the assignments table.
A notifier opens up &amp; asks a user who has submitted sth. w/a docs.google.com URL to enable anon. commenting.
Users will have to create a Google doc, write, &amp; upload the link.
It is enabled in a mode where outsiders can only comment, not modify.
But users have to log out of all their Google accts. (or use incognito window) to comment.
Manual testing only.
Not too much code was changed in this project ... but the investigation was more time consuming."
"They achieved a functionality that students can anonmlyously comments in private browser.
Although their pull request does not contain lots of modifications, they explore the Google Rails API a lot and find out the that Google doc does not support Rails very well."</t>
  </si>
  <si>
    <t xml:space="preserve">Problem 1-4 should be requirement 1-4 (use standard term in software development). A workflow / interactioan diagram would've been nice to get an overview of how you solve the problem (list of files changed is not useful, it can be obtained from github). </t>
  </si>
  <si>
    <t>E1699</t>
  </si>
  <si>
    <t>E1698</t>
  </si>
  <si>
    <t>bkasliw rsinha2 cbaruah bbansal</t>
  </si>
  <si>
    <t xml:space="preserve">http://wiki.expertiza.ncsu.edu/index.php/CSC/ECE_517_Fall_2016/E1698._Instructor/student_control_of_anonymity_%2B_group-based_reviewing
https://github.com/expertiza/expertiza/pull/868
https://youtu.be/xFCI-rT56RQ
</t>
  </si>
  <si>
    <t>"student group or group of student teams? -&gt;group of students.
Those student group can be created by inviting others. I don't like this feature so much because they can invite their friends to review their work and get good scores."
"First functionality: Instructor has a way to make reviews non-anonymous.
Second: Group-based reviews.
“Has groups” should have an info button.  Also, there should be a textbox for the size of the group Bhavin says there is, but the demo does not show it.
The demo created random groups, but you could also invite people to be in your group.  I say groups should be uploadable.
On Review Strategy tab, you can mark reviews as not being anonymous.
There’s now a “Your group” link as well as “Others’ work.”  Why shouldn’t this be instead of “Others’ work”?  We decide that if ""Your group"" appears on the menu, ""Others' work"" will not.
In student view, the reviewer’s name shows up as “Review 1 student6365.”  Why does it show up differently than in the instructor view, where it would just show the student’s name?  They can change this.
Only autogenerated tests."</t>
  </si>
  <si>
    <t>The titles are not too long and got repeated from section 2 to 7. The design pattern discusses about the planning on making changes, but not really related to design pattern.</t>
  </si>
  <si>
    <t>E1697</t>
  </si>
  <si>
    <t>psabhyan gmkhande pdinkar onjoshi</t>
  </si>
  <si>
    <t xml:space="preserve">https://docs.google.com/a/ncsu.edu/document/d/15LWsMzAEpJUUaZCRi42EzWu0oZgoDsM0JTcNpoJ4ha0/edit?usp=sharing
https://github.com/joshio1/expertiza
https://github.com/expertiza/expertiza/pull/864/
https://youtu.be/KJl1Wduk76Y
</t>
  </si>
  <si>
    <t>"No video submitted yet.
Allow instructor to submit hyperlink and a description text to topics.
[updated] see the video in the demo, but the demo does not show anything of interest"
"I think another column is unnecessary, they can add the link to the topic name.
When viewer clicks on a “More” link, Expertiza could show the rest on same page instead of pop up a window.
Cannot edit descriptions and links.
"
"A ""Wondershare Filmora"" watermark obscures quite a bit of the screen.  But the video just shows the system as it currently is and the design doc.
The demo follows.
Two optional columns are added to the .csv import file.
Clicking on ""More"" pops up a notifier box with the whole description.  Looks reasonable in a narrower column.
  Would be better if it opened up in Javascript ...
The link they added is in a column off to the right, rather than on the name of the topic.
  They say this is because in the instructor view, there was already a link from the topic name (yes, but it was a superfluous link).
  No, it's not superfluous ... it opens up a list of teams registered for the project.
 Unfort. you can't edit any descriptions, just re-import them.
 They reran existing tests, but did not write any new tests.
Is it true that they've only written 62 LoC?
Class AddDescriptionToSignupTopics &amp; others seem like suspect class names.
Documentation is truly a design doc.  Describes UI changes &amp; anticipated code changes."</t>
  </si>
  <si>
    <t>Section 3.1.2 Use case diagram should not be under section 3.1. Section 4 does not explain how changes should be made. Does not provide enough details about testing.</t>
  </si>
  <si>
    <t>E1696</t>
  </si>
  <si>
    <t>mmurali5 nnatara2 vchitto</t>
  </si>
  <si>
    <t xml:space="preserve">http://wiki.expertiza.ncsu.edu/index.php/CSC/ECE_517_Fall_2016_E1696_Improve_Self-Review
https://www.youtube.com/watch?v=zDnfa5wQYD0&amp;feature=youtu.be&amp;hd=1
https://github.com/expertiza/expertiza/pull/891
</t>
  </si>
  <si>
    <t>"The self-review score take the space from teammate review score on view_my_score page.
Formula hard coded. The weight of self-review/peer-review are hard-coded (95%-5%) "
"Many changes are related to syntax changes. And they use '$' signs in ruby, which means global variable. It looks weird to me.
There's no UI to change the weights in formular."
"In “Your work”, you see the self-review &amp; can add up its score.
How is the weight of self-review specified?  She says it’s 20 %, but then changes it to 10%.  [Right now, it is hardcode at 10%.]
Self-review score is not counted before there is a peer-review score.  [Can you explain why?  Because the self-review score is based on the difference from the PR scores.]
self_review_score = 100 - abs(pr_score - raw_self-review_score))
“Your scores” link is inactive till self-review is done.
        But the video doesn’t show the link becoming active after self-review is done.
Seems like self-review - peer-review score is being calculated in the view!
Did not write tests.
Documentation is OK, not great.  But they had a slide show that explains their rationale.
They think that a linear formula is too simple; perhaps something based on squares."</t>
  </si>
  <si>
    <t>Overall, it's a good doc. It contains all information about the project. However, the structure of doc could be improved. First state the requirements, your design approach, then the implementation. (instead of problems, implemetation, then the design). There are some small grammar error in the doc e.g., "you will (be) shown" .</t>
  </si>
  <si>
    <t>E1695</t>
  </si>
  <si>
    <t>E1694</t>
  </si>
  <si>
    <t>iyadav spilani bsinha agoel4</t>
  </si>
  <si>
    <t>https://docs.google.com/a/ncsu.edu/document/d/1DrxoItS_IfTxo3zXnUGkVT27k0I2A48pIiwqENkZbJQ/edit?usp=sharing
https://youtu.be/4fOQHpomits
https://github.com/expertiza/expertiza/pull/890</t>
  </si>
  <si>
    <t>"Had to make some fixes to the e-mailer.
If it's only for reviews, why is it in response.rb?
Sends summary report (heat-map view) to instructor
There is supposed to be a place for the instructor to enter addn’l. information on fixing the conflict, I think.
Didn't think they needed to add tests, because they are just grabbing info that is recorded.  And mailer tests are another project.
They didn't do the report to the instructor that could be viewed from the instructor interf., because they had so much trouble getting the mailer to work.
Ferry poses a q. that leads me to think: Might be helpful to include the text of the new review in the e-mail.
"
"on conflicting scores, the instructor receives an email with links to the review page and alternate view. however if the instructor has not yet logged in, he'll be redirected to login page and has to click the link again. 
a better way could be that the login page should detect if it's redirected from another page and redirect back to that page after the user login.  "</t>
  </si>
  <si>
    <t>The doc has a good structure, and the features requested are implemented.  However, the approach to implement the project could significantly be improved by involving your users (instructors) in the design process. This what seperates software engineering with software programming. Unfortunately, I couldn't find any paper mockup done, and the user opinions were not captured in the documentation.</t>
  </si>
  <si>
    <t>E1693</t>
  </si>
  <si>
    <t>radoshi msardar sbalakr2 lzheng5</t>
  </si>
  <si>
    <t xml:space="preserve">http://wiki.expertiza.ncsu.edu/index.php/CSC/ECE_517_Fall_2016/E1693._Drag-and-drop_interface_for_creating_rubrics
https://github.com/expertiza/expertiza/pull/866
https://www.youtube.com/watch?v=3mqLeNtkysI&amp;feature=youtu.be
</t>
  </si>
  <si>
    <t>"There are five kinds of items (checkbox, radio, “select”, text field, &amp; text area).
Notably missing is criterion questions.  I think one or two other types are missing too. 
          In order to implement criterion, they had to put two elements together, &amp; then they couldn't use the UI directly.
        Certainly section headers are missing.
        With the new system, you can choose H1, H2, or H3 directly, not just ""section header"", ""column header"", etc.  They need to enable this in Expertiza, &amp; will do this.
Can't change the ordering of items in drag-and-drop UI; you have to fall back on the old UI, which is currently hidden, but the group will enable a way of getting to it.
And why are “agree” and “disagree” prepopulated, and not capitalized, whereas the other options are capitalized.
I didn’t understand the part about saving things to give to other students.
Also, the video doesn’t show the rubric being used by a student.
They put commits from their OSS project in this repo too.  This will be hard to manage.
They had to copy the source code from the plugin into their repo; there was a problem with the plugin.
Doc includes how to manually test."
Several type of questions are supported, however the most used question type "Criterion" is not supported although I've stressed that it is the most important question. Changing the order of elements are not implemented. Also, the code seems like that it's done very quickly without a careful design. I think this project is probably about 50% finish.</t>
  </si>
  <si>
    <t>Please add the doc in expertiza wiki. the diagram could reflect the delayed task. what's the buffer time? it should be defined in a config file. or another approach, you could send all available submissions to simicheck when they're due, and then send the late submissions when they're submitted (the ones submitted first won't be plagiarized from the late ones). You mention the wiki content will be extracted, but it's not reflected in the code. Also for other links, html tags should be stripped since html tags would yield high similarities among the files. The files being sent only contains the team name, but not the original file names, which make it difficult for instructors to identify which files You could've saved your self some time by adding a link to github instead of copying them in the doc. I couldn't find the test plan, the doc is only 8 pages, maybe you submitted an old version.</t>
  </si>
  <si>
    <t>E1692</t>
  </si>
  <si>
    <t>ssethur2 vsshinde kvatwan pejohns4</t>
  </si>
  <si>
    <t xml:space="preserve">https://docs.google.com/document/d/1h8_X6pU5rAAe8NtC_39X0vEkiawECuKjtGmurjJTSBA/edit?usp=sharing
https://github.com/expertiza/expertiza/pull/873
https://youtu.be/VhnTz6monlQ
</t>
  </si>
  <si>
    <t>"there is a checkbox ""simicheck"" on the assignment edit-general page.
checking similarity will be a scheduled task.
Hyperlinks will be received from Simicheck.
They compare files within the same category (e.g., github, goodle doc, etc)
The comparison can only be done within the same assgt (in other words, we cannot compare submission in one assgt with the ones from the same assgt last semester)"
"Adds a “Simicheck” checkbox to General tab.  (It should be called something more specific, and have an info button.)
How does the job get queued?  When the assignment gets created, it gets added to the delayed-job queue.  And when does it get run?  After the due date.  If you change the due date, it will create a new job.
[The majority of time in the video is spent submitting files.]
Unfortunately, Google docs need to be public (to anyone).
If the job has been queued, why does it have to be run from the IDE?  It doesn't, but they didn't want to wait while time passed.
Wrote some RSpec tests for most of the methods.  Validate that ... has been created before the tests run.
Project is based on sending Google docs, Github repositories, or HTML files to Simicheck.  Only files of each type are compared with other files of the same type.
Simicheck accepts only Google docs &amp; HTML; the others they have to process &amp; send to Simicheck.
At the moment, the documentation does not explain the flow of how files are passed to Simicheck.  They say they will fix this.
Doc is just user documentation with the code pasted in at the end.  "
"they create a delayed job everytime an assignment is created or due date is changed. the delayed job is run. They send html and submitted files directly to simicheck. simicheck handles the html tags. 
they download google doc as docx and send it to simicheck
for github, they get the user name and repo name from the url, use GitHub gem (called Octokit) to get the JSON metadata. from the metadata they could determine the changes. 
We should put pdf and google doc in the same comparison. "
"Comparing different types of files- Similar files compared for the current semester. Documents that are not from github can be in the same category. 
Extension of deadline - updates the job, looks good.
Github document retrieval using Octokit.
Scheduled running at deadline-&gt; Can be pushed to a time when Expertiza usage is at a minimum.
"</t>
  </si>
  <si>
    <t>The doc explains a lot about the plugin, but unfortunately say a little about how you implement the project. As we discussed the "Criterion" type is the most important control, unfortunately you did not find any solution for it. It is clear that the project is far from finish at this moment</t>
  </si>
  <si>
    <t>E1691</t>
  </si>
  <si>
    <t>kbasuch ppprabhu onam</t>
  </si>
  <si>
    <t xml:space="preserve">http://wiki.expertiza.ncsu.edu/index.php/CSC/ECE_517_Fall_2016_E1691_ConvertAssignmentCreationFormtoReactJS
https://github.com/expertiza/expertiza/pull/855
https://github.com/KinshukBasu/expertiza
https://youtu.be/IQvycPlnyuA
</t>
  </si>
  <si>
    <t>"No longer do you have to create ""New private"" or ""New public"" assgt. &amp; redirect.
There are messages, ""Assignment name cannot be empty"", and about the characters that can appear in a directory name.
Shows editing topic names in the signup sheet.  However, the edit box shows up at the top of the page.
No changes to sorting.
They didn't write new tests, but fixed the ones that were breaking due to changed redirects.
Concerned about a really long Javascript file they bloated.  Is there another way to do it?
"
"use reactjs based form to create a new assignment and edit the topic table once the assignment is created.
layout of the form is not redesigned
sorting the topic table is missing. 
code is decently written
no interaction with the users when creating the UI. 
no new test was added, but the fix the existing ones related to their project"</t>
  </si>
  <si>
    <t>A very good job of synopsizing the changes you planned to make.  Would be good to update to reflect the changes that were actually made.</t>
  </si>
  <si>
    <t>E1690</t>
  </si>
  <si>
    <t>gsshubha rsdates vdatla fluan</t>
  </si>
  <si>
    <t>http://wiki.expertiza.ncsu.edu/index.php/CSC/ECE_517_Fall_2016/E1690_Improvements_to_password_recovery_and_repeated_login_failures
https://github.com/expertiza/expertiza/pull/854
https://www.youtube.com/watch?v=dXwEFlMbRe0&amp;feature=youtu.be</t>
  </si>
  <si>
    <t>"Password recovery process. After 3x false password, the user gets redirected to reset password page. upon password reset, the user gets an email with a link consisting a token. the user klick on the link, gets a page where he could define the new password. 
expiry of the token was demonstrated."
"Audio has been added to the video.
Also, it is only 1:13 long.
It shows a captcha being used, and a password being requested.
Their code is in vies/auth/_forml.html.erb, just a couple of lines.
  The code for generating keys should also be merged with the code from E1687.  E1687 should be modified to use this way to generate a pw.
Then user is taken to a page to enter new pw. &amp; reset it.
This code directly communicates with the Google api.
Tests look very good!
So does documentation!
Some of the methods may be pretty long, though."</t>
  </si>
  <si>
    <t>The most important limitation is that it doesn't really describe how the code structure has been changed.  It shows a couple of UML diagrams, but doesn't explain them.  Your slide show was quite helpful; would be good to link the design doc to it.</t>
  </si>
  <si>
    <t>E1689</t>
  </si>
  <si>
    <t>alingar stiruma skavuru apendya</t>
  </si>
  <si>
    <t xml:space="preserve">http://wiki.expertiza.ncsu.edu/index.php/CSC/ECE_517_Fall_2016_E1689:_Anonymous_Chat_Between_Author_and_Reviewer
https://github.com/expertiza/expertiza/pull/880
https://www.youtube.com/watch?v=TVdb2aV-Rvo
</t>
  </si>
  <si>
    <t>"A chatting channel between authors and reviewers, as long as the reviewers are reviewing the same artifact.
The chatting window got all the reviewers comments on one side and reviewee on other side. (in the demo, they claim that there's a bug, they have fixed it...)"
"Shows reviewer submitting a message and author viewing it.
Can authors or reviewers be notified when a message is sent?
The chat looks like a texting interface.  Could it use all the available screen space?
Indeed, all reviewers can evidently see the same chat window.  (The “M” in “Your Messages” should not be capitalized.)
But evidently different reviewers are not identified in the chat … it just says “Reviewer”--should say “Reviewer 1,” “Reviewer 2,” etc.
Evidently there is a 2nd video talking about how it was implemented.  Good idea!
        It appears to repeat a good deal of the first video, however.
It looks like they changed the display of the student menu ... Everything between ""assignment description"" and ""back"" is indented.
""Reviewee"" in chat window should be ""Author"".  And code for displaying the chat window for author &amp; reviewer should be in a partial.
Documentation is basically good, but the description of code is not juxtaposed with that code.  In a few places, more description of strategy would be useful.
Zhewei raises the question of whether they tested what is likely to fail.
I am probably more enthusiastic about this project than my scores show.  It's just that everything was very good, but nothing was perfect."
"- Anonymous char between author and reviewer
- Chats table is unnecessary actually."</t>
  </si>
  <si>
    <t>This is a very good example of what we expect in a design doc.  It could include more details on the tests that were anticipated.  It would also be useful to update it to say what you actually did, as a group following on to your work would need to know this.</t>
  </si>
  <si>
    <t>E1688</t>
  </si>
  <si>
    <t>pgupta9 apshukla sndesai vbhat</t>
  </si>
  <si>
    <t xml:space="preserve">http://wiki.expertiza.ncsu.edu/index.php/CSC/ECE_517_Fall_2016/E1688._Send_feedback_to_support_%2B_tree_display_improvement
https://github.com/VivekBhat/expertiza/tree/vbhat
https://github.com/expertiza/expertiza/pull/865
https://github.com/expertiza/expertiza/pull/882
https://youtu.be/bvodkcK-BP0
</t>
  </si>
  <si>
    <t xml:space="preserve">
"I think they did what we asked.
Although reactjs part is not easy to do test, but they can test feedback part. "
"Tree display: There is an ""Actions"" button, &amp; you click on it to see the set of icons.  (I actually don't like this ... maybe if you could hover ...)
  But Zhewei says you used to hover &amp; it was a pain.
Now links on the welcome page work.
When you click on ""Help"" link, an e-mail form opens up, along w/a captcha.
  This is reasonably neat.
All icons seemed to be working the way they were supposed to.
  Tested to make sure e-mail to admin worked. (It did.)
Only manual testing, but most of their changes were to view.
Code changes seem reasonably neat.
In design doc, repeatedly having the same headers per subsection seems artificial."</t>
  </si>
  <si>
    <t>The document shows UI mockups, but it doesn't explain anything about how the implementation will be done.  It lists "files to be considered," but doesn't say how they are going to be modified.  It is thus too "early innings" to be a good synopsis of the design.</t>
  </si>
  <si>
    <t>E1687</t>
  </si>
  <si>
    <t>spotta smagapu ckonda vpalle</t>
  </si>
  <si>
    <t xml:space="preserve">http://wiki.expertiza.ncsu.edu/index.php/CSC/ECE_517_Fall_2016_E1687_Instructor_account_creation_over_the_web
https://github.com/sameeramagapu/expertiza
https://github.com/expertiza/expertiza/pull/867
https://youtu.be/Ro8YVQgdgIg
</t>
  </si>
  <si>
    <t>"Account request form with Captcha, the user won't be able to login until it's activated, but they'll see youtube tutorial videos.
Super-admins get an email notification upon request 
The user get notified via email with a temporary password when the account is approved
Features are pretty much like what we requested in the project description."
"User needs to fill out a captcha to get an acct.
Person who requested acct. can look at latest tutorials.
Admin gets e-mail when an acct. is requested (tho demo doesn't say this); he can go to requested users &amp; approve the account.
  (They installed Rails on their local machine, &amp; e-mailer worked.)
The new user can't see anything (can't even log in) till the superadmin approves the acct.
But the new user can see all the videos, etc. as soon as (s)he requests an acct.
They couldn't get automated tests to run, but they did write one or two.
In documentation, they need a high-level description of how their code worked ... promised to add one.
They added a new requested_users table with a structure similar to users."</t>
  </si>
  <si>
    <t>The document looks good. The "problem description" and "approach" part contains a large section of text. It will be better to split them using bullet points.</t>
  </si>
  <si>
    <t>E1686</t>
  </si>
  <si>
    <t>tgoel pbhanda2 vdramise pagrawa2</t>
  </si>
  <si>
    <t xml:space="preserve">https://docs.google.com/a/ncsu.edu/document/d/15GzHNBJqy-dxbqXn1QAvrYQkZIRuds-RbHQeNO_FRw8/edit?usp=sharing
https://github.com/expertiza/expertiza/pull/869
http://wiki.expertiza.ncsu.edu/index.php/CSC/ECE_517_Fall_2016/E1686-Timestamps_for_students%27_submissions
https://youtu.be/jDyMQDty8PA
http://54.244.33.87/
</t>
  </si>
  <si>
    <t>"Added a stroll-able time line to your work page.
All the git commits can be pulled."
"In app/models/github_pull_request_submission_history.rb, it is better to write a comment to explain git_user_details 1, 2, 3.
For submission history, maybe it will be cleaner to create a parent class first, and then inherit from it."
"Timestamps of reviews, submission, feedback
Step 1: adding a resource (link, file, (vtl)
Step 2: Rufus scheduler (run whenever timestamp is reached): last updated before due date.
Step 3: Reviews &amp; feedback on timeline.
Timeline is on the bottom of the ""Your work"" page.  (""Submission history"" is in H1, which is too garish)
Expertiza wiki link is hardcoded (and it is called Wikipedia), not good for an OSS project.
Step 2: adding link in the timeline: the due date shows up in the timeline.
""Reviews"" are just listed as ""Review"".  Could they have numbers? (Yes, not too hard.)
Importing Rufus scheduler: does its functionality overlap that of DelayedJob?
Wrote several tests.
Documentation appears updated; the timeline shown is for a train, not for a student submission. "</t>
  </si>
  <si>
    <t>Screenshot is too big. I am not quite understand "Refactor files" section; more narrative description is needed. Section "The file we need to edit" should be "Files we need to edit"</t>
  </si>
  <si>
    <t>E1685</t>
  </si>
  <si>
    <t>nramcha kpokhar arcox2 hkgurjar</t>
  </si>
  <si>
    <t xml:space="preserve">http://wiki.expertiza.ncsu.edu/index.php/CSC/ECE_517_Fall_2016_E1685:_UI_changes_for_review_and_score_reports
https://github.com/expertiza/expertiza/pull/874
https://github.com/kpokharel59/expertiza
https://youtu.be/QSKz96R0nks
</t>
  </si>
  <si>
    <t xml:space="preserve">"On review report page, on viewing each review response, the UI is now the same as the UI in view_my_scores.  (But they didnt reuse the code!!!)
on view_my_scores page, now there are 3 tabs, stas, reviews and alternate view. But why we do not have teammate review and author feedback?
On response/view page, the submit files and delete hyperlinks should not be options on that page.
""show all reviews"" and ""hide all reviews"" on view_my_score page.
Toggle questions, scores or answers."
"New code makes instructor view of reviews (but not review summary) look like student view.
Update student view to use tabs.  (""Alternate view"" should be ""Heat map"")
But, they did not update the instructor view at all.
Also, you can show scores or text feedback, or both. 
Only views were updated, so no new tests.
It appears that a lot of code related to heat map has been added; has it been cloned?  No, it may be code that's been turned into a new partial."
"the team refactored the score view of the student and put the review and alternate view on new tabs. the instructor view that shows the review also gets refactored so that it looks similar to the student view.
There is a bit of consistency in the UI, the old links are still there. it might be confusing for the users to see old elements mixed with the new ones."
</t>
  </si>
  <si>
    <t>The document has everything that we asked for. LGTM!</t>
  </si>
  <si>
    <t>E1684</t>
  </si>
  <si>
    <t>ysun34 lshi7 sdu3 gyu9</t>
  </si>
  <si>
    <t xml:space="preserve">http://wiki.expertiza.ncsu.edu/index.php/CSC/ECE_517_Fall_2016_E1684:_Feature_Test_for_Assignment_Submission
https://www.youtube.com/watch?v=fvfJapI0kfg&amp;t=7s
https://github.com/expertiza/expertiza/pull/859
</t>
  </si>
  <si>
    <t>Auto test for assignment_submission (I would call it artifact submission).
"Feature test of assignment submission.
The last screenshot of wiki page should display the content of the table, instead of showing the structure of the table."
"[This video could easily be played at 1.25x speed.]
Part 1: Test function of uploading hyperlinks
Part 2: Test uploading files
Looks like a pretty reasonable set of tests, which will be a good addition to the suite.
But they didn't test file deletion or link deletion.
In the writeup, they showed the result as being the schema, not entries that were created in the db.
"</t>
  </si>
  <si>
    <t>The doc mentions the files that will be modified, but said little about the modifications that would be made.  Which methods will be modified?  What parameters will be passed?  Also, the testing plan is much too vague.</t>
  </si>
  <si>
    <t>E1683</t>
  </si>
  <si>
    <t>xding3</t>
  </si>
  <si>
    <t xml:space="preserve">http://wiki.expertiza.ncsu.edu/index.php/CSC/ECE_517_Fall_2016_E1683_Team-based_reviewing
https://github.com/DinMouMou/expertiza
</t>
  </si>
  <si>
    <t>The assumption is that the assignment team submit together and review together, so one user only belong to one team in an assignment.
"[Video is not linked to from the submission!]
Project is to let reviewers review as a team.
[Music in bkgrd. of video.]
In db: reviewer_is_team boolean.
Either a Participant or an AssignmentTeam can be reviewer in response map (polymorphically)
Instructor selects on Review Strategy tab.
Didn't finish: need to check that View My Score &amp; other modules work.
  It works for new assignments, but breaks for several old assignments.
Still needs to lock out team members from working at same time.
Shows that one team member can see changes made by another.
Only did manual testing.
Checks in at least 3 places whether reviewer is team.  Couldn't this be done polymorphically?
Design doc has not been updated; explains changes to be made reasonably well."
"Some added methods may already existed in Expertiza, such as ""self.team"", ""file"".
Migrations seems correct."</t>
  </si>
  <si>
    <t>The documentation has everything that we asked for. it's well structured, contains a workflow diagram (it's not behaviour diagram. behaviour diagrams are use case, interaction, collaboration, state chart, and activity see UML 2.0). so I can skim it quite fast. the design of the UI with the pie chart is also nice. DB table is also explained well (Actually you could get "round" from the response table).  Well done!</t>
  </si>
  <si>
    <t>E1682</t>
  </si>
  <si>
    <t>svenka15 vnandak nthanik aksingh5</t>
  </si>
  <si>
    <t xml:space="preserve">http://wiki.expertiza.ncsu.edu/index.php/CSC/ECE_517_Fall_2016_E1682:_Improve_score_calculation
https://github.com/expertiza/expertiza/pull/886
https://github.com/NarenThanikesh/expertiza
https://youtu.be/mfP9LlyeSnM
</t>
  </si>
  <si>
    <t xml:space="preserve">
"Doc has good graphics to show where scores come at various times.
But has not been updated; does not explain where code changes would be made.  Does give schema for local_db_scores, though
On_the_fly calc always called before final deadline, local_db_calc after it.
The first time you query it, it won't be there, so it will be calculated (even after assgt. deadline? Would then seem that scores could change after deadline, e.g., due to changes in reputation, until first viewed).
  Not really a good decision, but maybe it was specified this way.
  I can see implementation difficulties in doing it a different way.
View chooses whether to display onTheFlyCalc or localDBCalc via an if statement.  Should be done by Strategy pattern.
  On-the-fly design decision: As soon as you know a score won't change (e.g., review submitted), at that point you go to OnTheFlyCalc.
Just manual testing.
Video shows them checking scores &amp; they say local_db_calc is used, and then doing a db query to show the scores are changed."
They implemented strategy pattern wrong and put the logic in the view.</t>
  </si>
  <si>
    <t>The doc could be significantly improved by providing code examples of how to use the SSO service on each use case. e.g., what did you change on the rainbow service to use the SSO?</t>
  </si>
  <si>
    <t>E1681</t>
  </si>
  <si>
    <t>lzhang45 zqi3 jliu39 ywei8</t>
  </si>
  <si>
    <t xml:space="preserve">http://wiki.expertiza.ncsu.edu/index.php/CSC/ECE_517_Fall_2016/E1681.Refactor_and_test_the_quizzing_feature
https://youtu.be/gz_Ds731E5w
https://youtu.be/FxLDPC17hEI
http://wiki.expertiza.ncsu.edu/index.php/CSC/ECE_517_Fall_2016_E1633._Refactor_different_question_types_from_quiz_feature
</t>
  </si>
  <si>
    <t>"Starts out with a discussion of E1633.
Most of the video just shows that the code works, i.e., that quizzes can be created and taken.
In fact, there is nothing on testing.  But that is in their next video, which I didn't watch.
28 instructor tests passed, ~ 14 student tests.
Code changes seem pretty reasonable, though it went by pretty fast.
Documentation is too sparse, needs to explain WHY code was written the way it was."
The biggest contribution for this team is finished what we specified for E1633. This is a project has been tried by 3 teams and none of them satisfied me.</t>
  </si>
  <si>
    <t>The document describes the workflow, but not the changes that will be made to individual files.  This is an important part of the design, so that readers can see that appropriate principles and patterns are being used.  OTOH, it does have a very detailed testing plan.</t>
  </si>
  <si>
    <t>E1680</t>
  </si>
  <si>
    <t>dssathe ppnawath scyadav smohapa3</t>
  </si>
  <si>
    <t xml:space="preserve">http://wiki.expertiza.ncsu.edu/index.php/CSC/ECE_517_Fall_2016/E1680._Improve_survey_functionality
https://github.com/expertiza/expertiza/pull/878
https://youtu.be/jsktp5iXUPs
</t>
  </si>
  <si>
    <t xml:space="preserve">
I am not sure whether add 'global_survey_id' to 'assignment' table is good idea or not.
"Formerly, there was no validation for the name field (of the survey), so it was throwing an exception.
Shows adding a survey question, functionality that was fixed.
Warns if you are overwriting a survey (how does it decide that?)
   Currently, an assgt. can have only 1 survey &amp; 1 global survey.
   So if you create a new one, you are overwriting an existing one.
There is a dropdown that lets you select a global survey. (I thought that would be the default … if you can choose not to use it, it is not global.)
  Global survey is optional, but you can't assign one w/o assigning a survey.
  (They wanted to change ""survey"" to ""assignment survey"", but it didn't work.)
Students can select a survey to take.  (Would be nice to have a link e-mailed to student too.)
 Assignment survey is now a col. in Assignment, was formerly in AssignmentQuestionnaires. The problem then was that it couldn't apply to a course.
There is only one test, written yesterday.
And currently, you can't take a survey, because ~ SurveyResponseMap is not implemented
741 lines added, but prob. most were in views, and schema is included in the 741.
Documentation contains a description of what was done, but in sentence fragments, not complete sentences"</t>
  </si>
  <si>
    <t>Very good job.  Improvements evidently made since last peer review.  Description for Problems 2 and 3 could have included brief code snippets as in Problem 1; that's all I see as room for improvement.</t>
  </si>
  <si>
    <t>E1679</t>
  </si>
  <si>
    <t>hli36 jwang59 xma5 skang7</t>
  </si>
  <si>
    <t>https://docs.google.com/document/d/1BtM5f9BU52oaaUsIfcmejxlBi3FfKg2WDNX81Ot2eAQ/
http://wiki.expertiza.ncsu.edu/index.php/CSC/ECE_517_Fall_2016_E1679_Let_experts_as_well_as_students_do_reviews
https://github.com/expertiza/expertiza/pull/858
https://www.youtube.com/watch?edit=vd&amp;v=SrLNSRNk1qM</t>
  </si>
  <si>
    <t>"Some wording change.
The calibration can be done in vary-rubric-by-round way.
The TA can also do expert reviews. ----&gt;say, both TA and instructor do the expert review, will this crash the calibration report page?"
"A checkbox, “Add expert peer review” is placed on the General tab.
Then they go to the Expert review tab (it’s not clear why it goes there …)
        But my idea for this project was to let instructors review regular student submissions.
Then they allow you to change rubrics during round of reviews.
   First, they show that two different reviews appear in the Due Dates tab.
        Then they show that the rubric has changed.
TAs can now do expert review.
        A student sees, “Expert Reviewer 1”, “Expert Reviewer 2”, etc.
The scores appear in boxes; they don't know why this is.
        The label “Show expert peer-review result” should be reworded.
In first round, it doesn't tell the expert reviewer that it is round 1, but in round 2 it does.
I don't like changing ""Calibration"" to ""Expert review"".  Seems to conflate two functions.  One is to teach the students how to review; the other is to give them expert feedback on their work.
Documentation focuses very much on how the functionality is used, rather than how it is implemented.  Not clear that this is a design doc."</t>
  </si>
  <si>
    <t>Design approach is well defined. Could've used observer pattern to log the events. should've listed the location of the source code where the events are to be logged. Testing could be elaborated more than just saying "RSpecs will be written wherever required". List the test cases, e.g., filtering user ID, date...</t>
  </si>
  <si>
    <t>E1678</t>
  </si>
  <si>
    <t>mghegde vramakr2 smurali8 ssdeshp5</t>
  </si>
  <si>
    <t xml:space="preserve">http://wiki.expertiza.ncsu.edu/index.php/CSC/ECE_517_Fall_2016_E1678:_Review_configuration_options
https://github.com/expertiza/expertiza/pull/851
https://github.com/vramakr2/expertiza
https://youtu.be/E3JFT8LycnY
</t>
  </si>
  <si>
    <t>"Max num of reviews by each reviewer: is reached, reviewer cannot do more reviews.
Dropping reviews: can drop before submit. No limit on the num of drops.
Can allow show either teammate review scores or comments, or both.
They added another parameter (show score, i guess) to allow or disable showing scores.,
They added another field to response table (comments only for instructor). They again is determined if displayed with a parameter.
Reviews can be seen by other people who have reviewed the same work.
Only show the scores/comments or both.
Documentation is still bad..."
"What is the default threshold for max # of reviews done by a student? 20
A review can be dropped.  Good, but is there any limit on the # that can be dropped?  No.
Drop option is available till review has been submitted.
Seems like “Show teammate reviews” and “Show teammate scores” should be on the Review Strategy tab.
This functionality seems to work very smoothly, though.
They added “Comment visible only to instructor”.  Is this in the response object?  Seems like it should be.  Yes.  Currently called instructor_visible_comment, it needs to be renamed.
Showing other reviews seems to work well, but it would be nice if it also included the summary view &amp; alternate view.
The showing of scores or text feedback looks good, but is this implemented by cloning the code from teammate reviews, or is it done in a DRY way?  Yes.  She thinks it might work for author feedback too.
Review display options should be set in profile, not from main menu.
Fixed 2 test cases to encompass their code."</t>
  </si>
  <si>
    <t>Well defined problem statement, lacks information on design. workflow explained with flowcharts and UML diagrams</t>
  </si>
  <si>
    <t>E1677</t>
  </si>
  <si>
    <t>lkommi skundu dsiva skatypa</t>
  </si>
  <si>
    <t xml:space="preserve">http://wiki.expertiza.ncsu.edu/index.php/Text_metrics
http://github.com/sequae92/expertiza.git
https://github.com/expertiza/expertiza/pull/892
</t>
  </si>
  <si>
    <t>"A review metrics page on review report for instructor. 
--&gt; the current approach is to show word count on the review report page. Their project move all the metrics into a new page, which is one step further.
--&gt;should merge cell on avg. volume and problem percentage. 
A review metrics page on each review done for students.
--&gt;students cannot see the review metrics untill the instructor view the review metrics first. This does not make sense to me...
Does not look interesting to me."
"Volume (total # of words), # of diff. words, suggns. given, problems highlighted, problem percent
Averages should be down at the bottom, not duplicated in their own column in each row.
Response ID &amp; reviewer ID ... not really appropriate for the default view.
Different partials, ordering of columns, for students &amp; instructors.
Metrics are not counted unless the review has been submitted.
Could use info buttons to explain the confusing fields.
Review metrics are calculated &amp; put in the db when the instructor looks at them.  Really bad decision!  Should have been discussed with the mentor before deciding on this.  In general, a lot of high-level decisions were made wrongly, which could have been averted if they had discussed it with us first.
Doc doesn't explain how they've written the code."
"- Many changes, some variable names are meaningless, such as 'o' or 's'.
- Hard-coded offensive words in the code. I remembered I told them to put these words in somw YAML file.
- Instructor end and student end did not share same partials.
- Some irrelative plain text files are commited.
- They wrote test in Minitest framework I think, not RSpec. So their test part cannot be merged into Expertiza."</t>
  </si>
  <si>
    <t xml:space="preserve">No relevent information in document. Document only consist of images and code samples, no information about design of project
Josh: Documentation is a concatenation of diagrams and code snippets, with almost no prose.
</t>
  </si>
  <si>
    <t>E1676</t>
  </si>
  <si>
    <t>ddu3 qxue4 pjain12 ychen75</t>
  </si>
  <si>
    <t>http://wiki.expertiza.ncsu.edu/index.php/CSC/ECE_517_Fall_2016_E1676_Role-based_reviewing
https://github.com/expertiza/expertiza/pull/860
https://github.com/Expertiza-Final-Project/expertiza
https://www.youtube.com/watch?v=0nwM7qwlL_4&amp;feature=youtu.be</t>
  </si>
  <si>
    <t xml:space="preserve">
"“Allow duty shared” should be reworded.
Shows creating an assgt. w/role-based reviewing, and setting weights.
I think the weighting should always be the same.  They mention sth about a default value
  The default value, though, divides 100% by the # of roles, which is wrong.
Students can select duties for selves.
        If you run out of roles, students can’t choose one, but there is a default questionnaire.
        Which questionnaire is the default?
Doc is very good at explaining how to use the functionality.
        It is also pretty good at describing tests, though more prose description would've been useful
        But it says nothing about the design of the code, a serious weakness.
The demo did not go well because they spent a large amt. of time configuring computers.  Yang asking for a live demo of the functionality delayed it further."</t>
  </si>
  <si>
    <t>Good work with design document. Sufficient information about design
Information provided for both Manual and Automated testing
Explained problem statement with visualizations</t>
  </si>
  <si>
    <t>2016 Fall OSS</t>
  </si>
  <si>
    <t>E1675</t>
  </si>
  <si>
    <t>zli36 rsdates agoel4</t>
  </si>
  <si>
    <t xml:space="preserve">https://github.com/rsndates/expertiza
http://wiki.expertiza.ncsu.edu/index.php/CSC/ECE_517_Fall_2016/E1675._Timestamp_for_student_file_%26_hyperlink_submissions
https://github.com/expertiza/expertiza/pull/782
</t>
  </si>
  <si>
    <t>See comments on pull request: https://github.com/expertiza/expertiza/pull/782
Two db tables created (submission_records and submissionrecords)</t>
  </si>
  <si>
    <t>Good job of enumerating the changes made.  Good prose description the code snippets that you have included.  However, the code snippets themselves should contain comments.</t>
  </si>
  <si>
    <t>E1674</t>
  </si>
  <si>
    <t>arcox2 ywei8 sdu3</t>
  </si>
  <si>
    <t xml:space="preserve">http://wiki.expertiza.ncsu.edu/index.php/CSC/ECE_517_Fall_2016/E1674.Refactor_leaderboard.rb_and_write_unit_tests
https://github.com/keemen90/expertiza
https://github.com/expertiza/expertiza/pull/791
https://youtu.be/ETM9Zxy-E90
</t>
  </si>
  <si>
    <t>See comments on pull request: https://github.com/expertiza/expertiza/pull/791</t>
  </si>
  <si>
    <t>The writeup clearly explains the modifications done.  The level of detail is appropriate.</t>
  </si>
  <si>
    <t>E1673</t>
  </si>
  <si>
    <t>nzlu ddu3 lzhang45</t>
  </si>
  <si>
    <t xml:space="preserve">http://wiki.expertiza.ncsu.edu/index.php/CSC/ECE_517_Fall_2016/E1673._Refactor_question_type.rb#Code_Changes
https://github.com/zhoilet/expertiza
https://github.com/expertiza/expertiza/pull/832
http://104.160.38.23:1673
</t>
  </si>
  <si>
    <t>See comments on pull request: https://github.com/expertiza/expertiza/pull/832</t>
  </si>
  <si>
    <t>When you say you have "short" (shortened) a method, you should explain how functionality that used to be performed by the method is performed now.  The code you've given is much shorter, and couldn't output everything the old view did.</t>
  </si>
  <si>
    <t>E1672</t>
  </si>
  <si>
    <t>nnatara2 svenka15 vchitto</t>
  </si>
  <si>
    <t>http://wiki.expertiza.ncsu.edu/index.php/User:Svenka15
https://github.com/expertiza/expertiza/pull/800
https://github.com/svenka15/expertiza</t>
  </si>
  <si>
    <t>See comments on pull request: https://github.com/expertiza/expertiza/pull/800</t>
  </si>
  <si>
    <t>Please title your page after the topic, so that it can easily be located by a search.  I would also have liked to see you enumerate more of the changes you made, rather than just give examples of them.  (I wouldn't expect you to describe every change, though.)  But the idea of describing different kinds of changes was good.  The huge screenshots are annoying; did you try to find a way to shrink them?</t>
  </si>
  <si>
    <t>E1671</t>
  </si>
  <si>
    <t>pejohns4 kvatwan shuang7</t>
  </si>
  <si>
    <t xml:space="preserve">http://wiki.expertiza.ncsu.edu/index.php/CSC/ECE_517_Fall_2016/E1671._Unit_Tests_for_participants.rb_Hierarchy
https://github.com/expertiza/expertiza/pull/819
https://github.com/hsy12321/expertiza
</t>
  </si>
  <si>
    <t>See comments on pull request: https://github.com/expertiza/expertiza/pull/819</t>
  </si>
  <si>
    <t>The CourseParticipant tests are described much more fully than the other tests.  I would have liked to see similar descriptions of the other tests, though as it stands, the code is already pretty readable.</t>
  </si>
  <si>
    <t>E1670</t>
  </si>
  <si>
    <t>arattili vdatla vdramise</t>
  </si>
  <si>
    <t xml:space="preserve">https://github.com/anudeepvrm/expertiza
http://wiki.expertiza.ncsu.edu/index.php/CSC/ECE_517_Fall_2016/E1670._Unit_tests_for_answers.rb
https://github.com/expertiza/expertiza/pull/792
</t>
  </si>
  <si>
    <t>See comments on pull request: https://github.com/expertiza/expertiza/pull/792</t>
  </si>
  <si>
    <t>The intros to Expertiza and Rspec are really not needed, as anyone reading this writeup would already be familiar with them.  It might be appropriate to link to descriptions of them, but no more.  The descriptions of the test cases is very good.  I wonder why more of the descriptions are not backed up by showing the code.</t>
  </si>
  <si>
    <t>E1669</t>
  </si>
  <si>
    <t>cahuja2 jliu39 zqi3</t>
  </si>
  <si>
    <t xml:space="preserve">http://wiki.expertiza.ncsu.edu/index.php/CSC/ECE_517_Fall_2016_E1669_Test_Various_Kinds_Of_Response_Map_Hierarchies#Factories
https://github.com/expertiza/expertiza/pull/765
https://youtu.be/pLnxZamMqaI
</t>
  </si>
  <si>
    <t>See comments on pull request: https://github.com/expertiza/expertiza/pull/765</t>
  </si>
  <si>
    <t>This is a pretty good description of the work that was done.  I would move the description of the code snippets to above the code snippets, but other than that, it seems quite adequate.</t>
  </si>
  <si>
    <t>E1668</t>
  </si>
  <si>
    <t>skang7 ychen75 qxue4</t>
  </si>
  <si>
    <t>https://github.com/expertiza-517/expertiza
https://github.com/expertiza/expertiza/pull/812
http://wiki.expertiza.ncsu.edu/index.php/CSC/ECE_517_Fall_2016/E1668.Test_e-mailing_functionality</t>
  </si>
  <si>
    <t>Seems that only sending of e-mail was tested, not receiving.</t>
  </si>
  <si>
    <t>Good job of explaining the tests that were included.  Perhaps should have explained in some more detail how the tests work.</t>
  </si>
  <si>
    <t>E1667</t>
  </si>
  <si>
    <t>xma5 iyadav mmmasale</t>
  </si>
  <si>
    <t xml:space="preserve">http://wiki.expertiza.ncsu.edu/index.php/CSC/CSC_517_Fall_2016/oss_E1667
https://github.com/expertiza/expertiza/pull/813
</t>
  </si>
  <si>
    <t>The code does not test the heat map functionality at all.  It just checks that the page says "Summary Report" at the top and that there is a Review 1, not that the review shows what the reviewer actually submitted, or that the popups work, etc.</t>
  </si>
  <si>
    <t>The writeup is not sufficiently detailed.  There is a huge flow diagram, and then the code is pasted in.  Nothing describes the testing that is carried out (you have to read the code).  Also, it is not explained why the test that you have written is a sufficient test for the heat-map functionality.</t>
  </si>
  <si>
    <t>E1666</t>
  </si>
  <si>
    <t>arai fluan hli36</t>
  </si>
  <si>
    <t xml:space="preserve">https://github.com/hli36/expertiza/
https://github.com/hli36/expertiza/blob/master/spec/rails_helper.rb
https://github.com/hli36/expertiza/blob/master/spec/features/team_functionality_spec.rb
http://wiki.expertiza.ncsu.edu/index.php/CSC/ECE_517_Fall_2016/E1666._Test_team_functionality
https://github.com/expertiza/expertiza/pull/772
</t>
  </si>
  <si>
    <t>I think the test is good. They test that team leader can invite other members, and the invitee can accept or decline. Also, 2 student select the same topic should be in different teams. [Zhewei] There are many duplicated code and duplicated test cases. Also many white spaces.</t>
  </si>
  <si>
    <t>This is not a long wiki page, but one that does exactly what it needs to: explain the tests to be coded, explain how they are coded, and display the test code.</t>
  </si>
  <si>
    <t>E1665</t>
  </si>
  <si>
    <t>lshi7 dsiva lkommi</t>
  </si>
  <si>
    <t>https://github.com/expertiza/expertiza/pull/807
http://wiki.expertiza.ncsu.edu/index.php/Testing_Staggered_Deadline</t>
  </si>
  <si>
    <t>See comments on pull request: https://github.com/expertiza/expertiza/pull/807  Good tests for what SHOULD be able to happen; should have also tested that they could not, for example, review a project that was not in the review phase.</t>
  </si>
  <si>
    <t>I question whether the tests are really exhaustive because only a couple of different combos of deadlines and rights are checked;; suppose someone tries to review a topic too early, for example?  But as far as the writeup is concerned, the tests are well described, but the code should also be shown, so that the reader could easily verify what is being tested.</t>
  </si>
  <si>
    <t>E1664</t>
  </si>
  <si>
    <t>asingh26 pjain12 vmuruga</t>
  </si>
  <si>
    <t>https://github.com/dbzvishal/expertiza/
http://wiki.expertiza.ncsu.edu/index.php/CSC/ECE_517_Fall_2016/E1664:_Feature_Test_Assignment_Creation
https://github.com/expertiza/expertiza/pull/811</t>
  </si>
  <si>
    <t>See the comment on the pull request: https://github.com/expertiza/expertiza/pull/811</t>
  </si>
  <si>
    <t>As mentioned by a couple of reviewers, this writeup does not explain the rationale behind the tests.  It simply gives their title, one sentence of description, and the test code.</t>
  </si>
  <si>
    <t>E1663</t>
  </si>
  <si>
    <t>pagrawa2 pbhanda2 arhudli</t>
  </si>
  <si>
    <t xml:space="preserve">http://wiki.expertiza.ncsu.edu/index.php/CSC/ECE_517_Fall_2016/oss_E1663
https://github.com/expertiza/expertiza/pull/804
http://54.145.169.215/
</t>
  </si>
  <si>
    <t>The implementation seems to be quickly done and untested visually. E.g., The add TA function could wrongly add the same TA multiple times, when adding a participant the list is rendered incorrectly. There is a bug after deleting a participant/TA the popup won't go away</t>
  </si>
  <si>
    <t xml:space="preserve">The documentation is well structured thus. it's short and easy to find information. Test cases could surely be extended. I'm questioning the approach " the controller renders a JavaScript file in place of the usual .html.erb. The JavaScript file then takes action on the webpage it is called on". why not just render html pages that have links to those javascripts? It would have been nice to see some reasoning there. </t>
  </si>
  <si>
    <t>E1662</t>
  </si>
  <si>
    <t>psabhyan xding3</t>
  </si>
  <si>
    <t xml:space="preserve">https://github.com/expertiza/expertiza/pull/801
http://wiki.expertiza.ncsu.edu/index.php/CSC/ECE_517_Fall_2016/E1662._UI_issues/fixes#Issue.23295
http://152.46.18.90:3000/
https://github.com/expertiza/expertiza/pull/835
https://github.com/DinMouMou/expertiza
</t>
  </si>
  <si>
    <t>Didn't finish the assignment, Issue #256 was skipped however other fixes are quite good. Code should be commented more to improve clarity e.g., no comment on the IF ELSE in _table_header.html.erb. The combo box for entering the institution should be editable, if the institution is not yet registered, user should be allowed to type it in and it should be added automatically
[added] more issues found when Yang tried to merge. See comments on your pull request.</t>
  </si>
  <si>
    <t>The documentation does not mention that they skipped Issue #256. However, it is nicely structured thus it's easy to find information. however the solution presented are mostly just copy paste of the code. It should be described in a narrative, rather than a list of bullet points.</t>
  </si>
  <si>
    <t>E1661</t>
  </si>
  <si>
    <t>hkgurjar mmurali5 sbalakr2</t>
  </si>
  <si>
    <t>https://github.com/harshalkgurjar/expertiza.git
http://wiki.expertiza.ncsu.edu/index.php/CSC/ECE_517_Fall_2016/E1661
https://github.com/sbalakr2/expertiza/blob/master/README%202.md
https://github.com/expertiza/expertiza/pull/787
http://152.46.18.116:3000/</t>
  </si>
  <si>
    <t>Function does not work. See comments on pull request: https://github.com/expertiza/expertiza/issues/732
No functional test added (not required, but encourage on suggested for all OSS projects)</t>
  </si>
  <si>
    <t>Very readable.  Good highlighting of code changed, but it would have helped if there were prose describing the changes made.  Screenshots show new functionality, but not how the different review rounds are shown.</t>
  </si>
  <si>
    <t>E1660</t>
  </si>
  <si>
    <t>mhpandya ycheng15 rnambis</t>
  </si>
  <si>
    <t xml:space="preserve">http://wiki.expertiza.ncsu.edu/index.php/CSC/ECE_517_Fall_2016/E1660._Review_requirements_and_thresholds
https://github.com/rnambis/expertiza
https://ossproject.herokuapp.com/
https://github.com/expertiza/expertiza/pull/825
</t>
  </si>
  <si>
    <t>Function does not work. The pull request is dirty. See more comments on pull request: https://github.com/expertiza/expertiza/pull/825</t>
  </si>
  <si>
    <t>Hardly anything was done, except to rewrite the project specs, tell about the new fields, and paste in the testing code.  The app code changed was not included or described.</t>
  </si>
  <si>
    <t>E1659</t>
  </si>
  <si>
    <t>asagarwa sagupta sramakr9</t>
  </si>
  <si>
    <t>http://wiki.expertiza.ncsu.edu/index.php/CSC/ECE_517_Fall_2016/E1659._Refactor_on_the_fly_calc.rb
https://github.com/aayushagarwal7/expertiza
https://github.com/expertiza/expertiza/pull/834
https://www.youtube.com/watch?v=trW71Y1zJ3s&amp;feature=youtu.be&amp;hd=1</t>
  </si>
  <si>
    <t xml:space="preserve">The pull request does not work on "view_score_report", "view_scores" and "view_my_scores" page. You may find comments on the pull request.https://github.com/expertiza/expertiza/pull/834/.
No test was provided, but I would not blame them hard since testing this module is not easy.
[updated] Resubmitted a new pull request. The pull request is still dirty but the refactored code works. </t>
  </si>
  <si>
    <t>Generally good job of describing changes.  In places, there is too much code and not enough explanation (e.g., for the methods following scores).  Screenshot from Code Climate is gigantic.</t>
  </si>
  <si>
    <t>E1658</t>
  </si>
  <si>
    <t>radoshi aksingh5 aanilku</t>
  </si>
  <si>
    <t xml:space="preserve">http://wiki.expertiza.ncsu.edu/index.php/CSC/ECE_517_Fall_2016/E1658._Refractor_lottery_controller.rb_and_write_integration_tests
https://github.com/AswinAK/expertiza/blob/master/app/controllers/lottery_controller.rb
https://github.com/expertiza/expertiza/pull/763
https://www.youtube.com/watch?v=XxRBIei-J8c&amp;feature=youtu.be
https://youtu.be/CE6B2bbvN4A
</t>
  </si>
  <si>
    <t>See comments on pull request: https://github.com/expertiza/expertiza/pull/763</t>
  </si>
  <si>
    <t>The writeup is locally very good; it describes every change and gives the reason for it; ditto for tests.  What I'd like to see is a narrative overview of what was done, rather than just a bulleted list.</t>
  </si>
  <si>
    <t>E1657</t>
  </si>
  <si>
    <t>kpokhar xli47 ckonda</t>
  </si>
  <si>
    <t xml:space="preserve">https://github.com/chaitanya91k/expertiza
http://wiki.expertiza.ncsu.edu/index.php/CSC/ECE_517_Fall_2016/E1657._Introduce_a_Student_View_for_instructors
https://github.com/expertiza/expertiza/pull/827
https://youtu.be/WrJm6csM3mo
</t>
  </si>
  <si>
    <t>There were 2 requirements "switch to students' view" and "change time after impersonating". This team only did the 2nd. and the 2nd did not work well when tested. See more comments on pull request: https://github.com/expertiza/expertiza/pull/827  "Switch to student view" is not the same as impersonating; when an instructor switches to student view, (s)he should see the assignments that (s)he (the instructor) is participating in, not the assignments that some other student, or a random student, has.</t>
  </si>
  <si>
    <t>The writeup explains the functionality of the project, but doesn't explain enough of the underlying design decisions.  For example, how is changing the current time implemented?  Do functions that ordinarily look at the system time look somewhere else to find the time that the user has switched to?</t>
  </si>
  <si>
    <t>E1656</t>
  </si>
  <si>
    <t>jwang59 onam rsinha2</t>
  </si>
  <si>
    <t xml:space="preserve">https://github.com/olganam/expertiza
https://github.com/expertiza/expertiza/pull/786
http://wiki.expertiza.ncsu.edu/index.php/CSC/ECE_517_Fall_2016/E1656._Improve_imports
http://104.236.1.180:3000/
</t>
  </si>
  <si>
    <t>The code is not written with enough OO design, instead there are several places that the code check for the type of objects got imported and do things seperately. The ideal design of import/export_controller should not have those branches to test the models, instead, using polymophism is the right way to go. 
Limited automated testing done.
Also see comments on your pull request: https://github.com/expertiza/expertiza/pull/786.</t>
  </si>
  <si>
    <t>The writeup covers a lot of issues, but the organization was not clear to me until I went back to the table of contents.  Different Github issues are main headings. Ideally, the main headings would be about the functionality added.  One of the points is called an "extra issue"; it's surprising that it is in the middle of the list of issues.  The low-level discussion is clear; it's just not clear how it all fits in together.</t>
  </si>
  <si>
    <t>E1655</t>
  </si>
  <si>
    <t>apshukla cbaruah skundu</t>
  </si>
  <si>
    <t>http://wiki.expertiza.ncsu.edu/index.php/User:Cbaruah
https://github.com/expertiza/expertiza/pull/751
https://youtu.be/6xP5_lkTsPk
http://152.46.17.55:3000/</t>
  </si>
  <si>
    <t>Functionality works but the design was not consistant with the existing approach in Expertiza on sending Emails.
No test done.
Find more explanation on your pull request comments.https://github.com/expertiza/expertiza/pull/751</t>
  </si>
  <si>
    <t>This is a very useful description of what has been done and why.  The e-mails could be worded better (e.g., they should include the assignment name).</t>
  </si>
  <si>
    <t>E1654</t>
  </si>
  <si>
    <t>dssathe pdinkar vgupta8</t>
  </si>
  <si>
    <t>http://wiki.expertiza.ncsu.edu/index.php/CSC/ECE_517_Fall_2016/E1654._Improve_date-picker_and_deadlines
https://github.com/expertiza/expertiza/pull/810
https://youtu.be/zEop4YI-HXM
http://152.46.16.103:3000/
https://github.com/DJaySathe/expertiza</t>
  </si>
  <si>
    <t>The bug if user does not type the minutes, it takes the current time, is still there. This is the datetime's picker issue, which should be replaced by other plugin. However the bug of requiring the user to type in date with '/' is gone. they also improve showing only one timezone. There is a major usability issue with adding day buttons, it gives the impression that they change the number in the middle, but they actually change the date. the number should also start from 1, instead of 0. The UI to add month is missing although the javascript function supports it.  
Automated testing should be done.</t>
  </si>
  <si>
    <t>problems and implementations are clearly shown with screenshots. the description of the mismatch in the date formats, and what was the correct format should be written using a human language, not a copy paste of code!</t>
  </si>
  <si>
    <t>E1653</t>
  </si>
  <si>
    <t>nsingh9 prtanksa ssharm25</t>
  </si>
  <si>
    <t>https://github.com/expertiza/expertiza/pull/799
http://wiki.expertiza.ncsu.edu/index.php/CSC/ECE_517_Fall_2016/E1653._Fix_and_improve_rubric_criteria
http://152.46.16.205:3000/
https://www.youtube.com/watch?v=a9ENtLV_itE&amp;feature=youtu.be</t>
  </si>
  <si>
    <t>The biggest thing is that the questionnaire export/import was not done like other parts of Expertiza. I pointed out several smaller issues and this team fixed them. Limited tests done.
See more comments from your pull request:https://github.com/expertiza/expertiza/pull/799</t>
  </si>
  <si>
    <t>Good job of explaining the changes made, the automated and manual tests.  My only reservation is that some of the longer code snippets should have had more explanation of the changes that were made.</t>
  </si>
  <si>
    <t>E1652</t>
  </si>
  <si>
    <t>scyadav sndesai vsshinde</t>
  </si>
  <si>
    <t xml:space="preserve">https://github.com/expertiza/expertiza/pull/781
http://wiki.expertiza.ncsu.edu/index.php/CSC/ECE_517_Fall_2016/E1652_Fix_teammate_advertisements_and_requests_to_join_a_team
https://github.com/sndesai92/expertiza
https://drive.google.com/a/ncsu.edu/file/d/0B3to9INgietuSXFZOEJqd3ZyUzg/view?usp=sharing
</t>
  </si>
  <si>
    <t>They partially finished the requirements, but not all of them. The design of the code was not elegant either.
Should add automated testes
See more comments from you pull request: https://github.com/expertiza/expertiza/pull/781</t>
  </si>
  <si>
    <t>Good job of describing the changes made and the manual testing process.</t>
  </si>
  <si>
    <t>E1651</t>
  </si>
  <si>
    <t>jkumar3 tgoel rkadeku</t>
  </si>
  <si>
    <t xml:space="preserve">http://wiki.expertiza.ncsu.edu/index.php?title=CSC/ECE_517_Fall_2016/oss_E1651
https://github.com/expertiza/expertiza/pull/777
http://54.244.169.170/
</t>
  </si>
  <si>
    <t>The UI still allows the instructor to inherit individual teams from the course.  This is too tedious; the intent was to have a way of inheriting (or bequeathing) all teams. 
See more comments from your pull request: https://github.com/expertiza/expertiza/pull/777</t>
  </si>
  <si>
    <t>They explain what was done, and show the UI that they updated.  But they didn't explain the code they wrote or changed to do this.</t>
  </si>
  <si>
    <t>E1650</t>
  </si>
  <si>
    <t>assinsin ppnawath rmehta4</t>
  </si>
  <si>
    <t xml:space="preserve">http://wiki.expertiza.ncsu.edu/index.php/CSC/ECE_517_Fall_2016/E1650._Sort_instructor_views_alphabetically_by_default
https://github.com/asinsinwal/expertiza
https://github.com/expertiza/expertiza/pull/788
http://152.46.16.59:3000/
</t>
  </si>
  <si>
    <t>Only managed to change 1 table, but suggested changes is nicely done. The library chosen is simple and easy to use. Manual test description test was defined in the wiki, the task description however didn't ask for automated JS test.</t>
  </si>
  <si>
    <t xml:space="preserve">Wiki is well written. It's clear and to the point. I would expect there'd be a comparisson of several libraries on the solution approach, their pro and cons e.g., easiness to program, performance etc. </t>
  </si>
  <si>
    <t>E1649</t>
  </si>
  <si>
    <t>kbasuch ppprabhu ssdeshp5</t>
  </si>
  <si>
    <t>http://wiki.expertiza.ncsu.edu/index.php/CSC/ECE_517_Fall_2016/oss_E1649_KPS
https://github.com/expertiza/expertiza/pull/794
https://github.com/ssdeshp5/expertiza
http://152.46.16.213:15000/</t>
  </si>
  <si>
    <t xml:space="preserve">The writeup got everything we are looking for from this project, but the code does not look to be workable. Plus the pull request is dirty and the code is writen badly. See more comments on the pull request: https://github.com/expertiza/expertiza/pull/794 </t>
  </si>
  <si>
    <t>Very good job of describing the requirements and the ultimate functionality.  Screenshots well integrated into description.  Unfortunately, does not show the new code or describe its functionality.</t>
  </si>
  <si>
    <t>E1648</t>
  </si>
  <si>
    <t>pgupta9 stiruma vpalle</t>
  </si>
  <si>
    <t xml:space="preserve">https://github.com/expertiza/expertiza/pull/816
http://wiki.expertiza.ncsu.edu/index.php/CSC/ECE_517_Fall_2016/E1648/Add_past_due_assignment
http://152.46.19.80:3000/
</t>
  </si>
  <si>
    <t>See the comment on the pull request: https://github.com/expertiza/expertiza/pull/816.  The problem with creating a Finished deadline is that "Finished" happens when the last deadline passes.  If you create a deadline that has to be the same as the latest other deadline, then every time code changes a deadline it needs to check whether that deadline is after the "finished" deadline, and if so, update the finished deadline.  This is too complicated and error prone.</t>
  </si>
  <si>
    <t>There was not too much to say on this wiki page, as solving the problems did not require writing much code.  But the team was responsive to reviewer suggestions, and created a pretty readable descrption of what they did.</t>
  </si>
  <si>
    <t>E1647</t>
  </si>
  <si>
    <t>E1646</t>
  </si>
  <si>
    <t>E1645</t>
  </si>
  <si>
    <t>bkasliw gsshubha skavuru</t>
  </si>
  <si>
    <t xml:space="preserve">https://github.com/expertiza/expertiza/pull/744
http://wiki.expertiza.ncsu.edu/index.php/CSC/ECE_517_Fall_2016/E1645._Refactoring_Tree_Display_Controller
http://152.46.16.255:3000/
</t>
  </si>
  <si>
    <t>Overall, I think they did a good job and reducing the complexity of methods with meaningful names. And they also converting hash value assignment to a decent way.</t>
  </si>
  <si>
    <t>Really good job of describing the changes made.  A few formatting and grammatical errors; otherwise, great.</t>
  </si>
  <si>
    <t>E1644</t>
  </si>
  <si>
    <t>bsinha msardar apendya</t>
  </si>
  <si>
    <t xml:space="preserve">http://wiki.expertiza.ncsu.edu/index.php/CSC/ECE_517_Fall_2016/E1644._Refactor_and_test_Teams_Controller
https://github.com/expertiza/expertiza/pull/803
https://www.youtube.com/watch?v=CcSruLHQoeU
</t>
  </si>
  <si>
    <t>See the comment on the pull request: https://github.com/expertiza/expertiza/pull/803</t>
  </si>
  <si>
    <t>Good description of what is done by all the test cases, and why.  Changes to view, however, were not similarly described.</t>
  </si>
  <si>
    <t>E1643</t>
  </si>
  <si>
    <t>smagapu spotta amajumd</t>
  </si>
  <si>
    <t xml:space="preserve">http://wiki.expertiza.ncsu.edu/index.php/CSC/ECE_517_Fall_2016/E1643._Refactor_Suggestion_controller
https://github.com/expertiza/expertiza/pull/761
https://github.com/expertiza/expertiza/pull/826
https://www.youtube.com/watch?v=TOhofFEjgcM&amp;feature=youtu.be
https://vimeo.com/190331266
</t>
  </si>
  <si>
    <t>[Yang] They only changed 30 lines of code w/o giving more test cases. It that all we asked them to do? [Zhewei] When you seach in GitHub `E1643`, you will find they have 2 pull requests, one for code refactor and another one is for testing. Their testing is good, however, is quite similar to existing one, so I just close it, although the controller test coverage is increase, it will take times to merge two suggestion test fles. Their refactor make email functionality work. I checked their video, but I did not test manually.</t>
  </si>
  <si>
    <t>The project was a refactoring project, but the writeup doesn't say anything about how the code was refactored.  Instead, the writeup talks about how to set up the project on a local machine ... which is not specific to this project, but was covered in instructions given to all teams.  For testing, the headings are of the form, "Scenario 1", ... , "Scenario 6", which are not informative of what the tests do.  And only the first three tests are shown.</t>
  </si>
  <si>
    <t>E1642</t>
  </si>
  <si>
    <t>alingar vbhat amedhek</t>
  </si>
  <si>
    <t xml:space="preserve">http://wiki.expertiza.ncsu.edu/index.php/CSC/ECE_517_Fall_2016/E1642._Refactor_review_response_map.rb
https://github.com/expertiza/expertiza/pull/797
https://github.com/SmokingSadhus/expertiza
http://152.46.19.56:3000/
</t>
  </si>
  <si>
    <t>The newly-added factory code should include all attributes of certain table, instead of only including servel attributes currently needed. Unit tests should avoid `create` key word, and try to use `build` or `double` instead.
Pull request not clean, some un-related code added into the pull request.
The refactor was done in a reasonable way, but the names of two new private methods did not explain the methods well. Comments should be added as well.</t>
  </si>
  <si>
    <t>This is an excellent writeup, clearly explaining the reason for changes, and highlighting them in the side-by-side source-code display.  It is also helpful to include Code Climate metrics, something I haven't seen any other team do yet.</t>
  </si>
  <si>
    <t>E1641</t>
  </si>
  <si>
    <t>htan5 jdeng8 gyu9</t>
  </si>
  <si>
    <t>http://wiki.expertiza.ncsu.edu/index.php/CSC/ECE_517_Fall_2016/E1641._Refactor_review_mapping_controller.rb
https://github.com/expertiza/expertiza/pull/821
https://github.com/csc517project2/expertiza
https://github.com/expertiza/expertiza/pull/836
http://104.160.38.23/</t>
  </si>
  <si>
    <t>The pull request for part 1 is dirty. I have difficulty to seperate the changes for requirement 1. The rest part (in a seperate pull request) looks okay. Zhewei modified the test cases further.</t>
  </si>
  <si>
    <t>There is a good description of the needs and of how the code has been changed.  This is exactly what we wanted.  However, it is not very effective to juxtapose "before" and "after" versions of the code without any annotations showing changes.</t>
  </si>
  <si>
    <t>E1640</t>
  </si>
  <si>
    <t>gmkhande onjoshi spilani</t>
  </si>
  <si>
    <t xml:space="preserve">http://wiki.expertiza.ncsu.edu/index.php/CSC/ECE_517_Fall_2016/E1640._Refactor_response.rb_and_response_helper.rb
https://github.com/expertiza/expertiza/pull/795
https://github.com/sandeeppilania/expertiza/
http://152.46.17.1:3000/
</t>
  </si>
  <si>
    <t>They moved the e-mailing methods to appropriate subclasses, which is a big improvement.  However, the methods have several lines of common code, which could have been factored out, put in the superclass, and parametrized so they could be called succinctly by subclasses.
See more comment from git pull request: https://github.com/expertiza/expertiza/pull/795</t>
  </si>
  <si>
    <t>This writeup is less detailed than some, but then there weren't as many changes to describe as in some projects.  It accomplishes what it needs to.</t>
  </si>
  <si>
    <t>E1639</t>
  </si>
  <si>
    <t>pchheda rbhatt srjhawar</t>
  </si>
  <si>
    <t xml:space="preserve">https://github.com/Rushi-Bhatt/expertiza
http://wiki.expertiza.ncsu.edu/index.php/CSC/ECE_517_Fall_2016/oss_E1639
https://github.com/expertiza/expertiza/pull/779
https://www.youtube.com/watch?v=Xof869v6Eg8&amp;feature=youtu.be
https://www.youtube.com/watch?v=CQXjpPaXWBo
</t>
  </si>
  <si>
    <t>[Yang] They requirement got changed. Dr. Gehringer gave them a new list of issues to work on and said "there is still plenty of refactoring that is needed in this class.  It would be a real service if you could provide it".
However, they did only what Dr. Gehringer specified for them but nothing beyond.
Pull request not clean is the biggest issue for this team.</t>
  </si>
  <si>
    <t>Very good job.  Figured out some changes that were not in the requirements, and clearly showed how they were accomplished.</t>
  </si>
  <si>
    <t>E1638</t>
  </si>
  <si>
    <t>E1637</t>
  </si>
  <si>
    <t>akshetty nramcha smurali8</t>
  </si>
  <si>
    <t xml:space="preserve">http://wiki.expertiza.ncsu.edu/index.php/CSC/ECE_517_Fall_2016/OSS_E1637
https://github.com/expertiza/expertiza/pull/822
https://github.com/swetha1194/expertiza
https://youtu.be/mOoIKkyu5cA
</t>
  </si>
  <si>
    <t>The pull request reverted serveral recent commits in master branch. Dirty pull request, will revert a lot of recent changes if we try to merge.</t>
  </si>
  <si>
    <t>The writeup is generally pretty good.  There is no point in including the whole late_policy_spec.rb, but other than that, the changes are explained and shown with code snippets of reasonable length.  There is a good explanation of  how to test.</t>
  </si>
  <si>
    <t>E1636</t>
  </si>
  <si>
    <t>E1635</t>
  </si>
  <si>
    <t>ssethur2 tchuang3 zxiao2</t>
  </si>
  <si>
    <t xml:space="preserve">http://github.com/canhsiao/expertiza
http://wiki.expertiza.ncsu.edu/index.php/CSC/ECE_517_Fall_2016/E1635._Refactor_join_team_requests_controller.rb_and_invitation_controller.rb
https://github.com/expertiza/expertiza/pull/824
https://youtu.be/50TGWp7p_M4
https://docs.google.com/a/ncsu.edu/document/d/1-NHoF-8elgN2ctptkLYjf_-yEKNPIjbiz8173VLpPtE/edit?usp=sharing
</t>
  </si>
  <si>
    <t>Read the comment and in-line comments on the pull request. (https://github.com/expertiza/expertiza/pull/824)</t>
  </si>
  <si>
    <t>The writeup is created by taking screenshots, which means that the code is not searchable.  Low-level changes are enumerated, but the high-level changes are not explained (they are stated, at the beginning of the document, but the changes are not pointed out in the code).  Also, there is no explanation of how to test.</t>
  </si>
  <si>
    <t>E1634</t>
  </si>
  <si>
    <t>aagrawa6 kkapoor nthanik</t>
  </si>
  <si>
    <t xml:space="preserve">https://github.com/kunalkapoor/expertiza
http://wiki.expertiza.ncsu.edu/index.php/CSC/ECE_517_Fall_2016/E1634._Refactor_and_write_unit_test_of_due_date.rb_and_deadline_helper.rb
https://github.com/expertiza/expertiza/pull/755
http://152.46.19.148:3000
</t>
  </si>
  <si>
    <t>The refactoring work was not much, but was done in a reasonable way. The test is good, too. There are 2 redundant requires in test file, which are require 'spec_helper' and require 'factory_girl_rails'. And also RSpec.configure should not appear in test file.</t>
  </si>
  <si>
    <t>The writeup is somewhat helpful, but I am bothered by the long sequences of code without any annotation.  Also, while low-level changes are comprehensively described, there's no high-level overview of the changes made to classes and methods.  Was this just a set of very localized edits.</t>
  </si>
  <si>
    <t>E1633</t>
  </si>
  <si>
    <t>asmotiwa psnakhwa vnandak</t>
  </si>
  <si>
    <t xml:space="preserve">http://wiki.expertiza.ncsu.edu/index.php/CSC/ECE_517_Fall_2016/E1633._Refactor_different_question_types_from_quiz_feature
https://github.com/expertiza/expertiza/pull/837
</t>
  </si>
  <si>
    <t>Read the comment on the pull request. (https://github.com/expertiza/expertiza/pull/837)</t>
  </si>
  <si>
    <t>Most of the writeup consists of code snippets.  At the very least, these snippets should have been annotated to explain the changes that were made.  There was some explanation, typically 1 sentence, but it paled in comparison to the volume of code.</t>
  </si>
  <si>
    <t>E1632</t>
  </si>
  <si>
    <t>vramakr2 sjha4 smohapa3</t>
  </si>
  <si>
    <t xml:space="preserve">https://github.com/vramakr2/expertiza
https://github.com/expertiza/expertiza/pull/828
http://wiki.expertiza.ncsu.edu/index.php/E1632:_Refactor_delayed_job.rb_and_scheduled_task.rb
https://www.youtube.com/watch?v=d96A_9j2rng
</t>
  </si>
  <si>
    <t>There are no test cases. Only one skipped test. Hyperlink points to wrong Youtube video.  They did not deploy their code, and, since it wasn't a testing project, they could've deployed it.
Yang further checked the code. The design idea is correct: move the delayed mailer methods to each type of deadline. But this team only shows their effort on moving old methods to the correct places as-is, but big number of minor issues from the old code remains. This indicates that not enough testing and code review has been done. I have given some in-line reviews on their pull request.</t>
  </si>
  <si>
    <t>Gave "before" and "after" versions of code, but did not say what had been changed (i.e., they left all the work for the reader), or why it had been changed, which was one of the main purposes of the writeup.</t>
  </si>
  <si>
    <t>E1631</t>
  </si>
  <si>
    <t>lzheng5 mghegde skatypa</t>
  </si>
  <si>
    <t xml:space="preserve">http://wiki.expertiza.ncsu.edu/index.php/CSC/ECE_517_Fall_2016/E1631._Refactoring_Bidding_Interface
https://github.com/mghegde/expertiza
https://github.com/expertiza/expertiza/pull/778
http://152.46.16.213:3000
</t>
  </si>
  <si>
    <t>They did only 70 lines of code, and Shoaib and Zhewei have done more based on their work. The code works well enough to be implemented on Expertiza, however the design contains some flaws. Rather than updating the existing bids it delets all existing bids and re-creates them.  Should be refactored later to use existing bids, rather than deleting and re-creating them.</t>
  </si>
  <si>
    <t>Very good description of the changes made and the reasons.  The only deficiency is long code sequences with minimal prose explanations of what is being done.</t>
  </si>
  <si>
    <t>2016 Spring Final</t>
  </si>
  <si>
    <t>nraina ysong8</t>
  </si>
  <si>
    <t xml:space="preserve">http://wiki.expertiza.ncsu.edu/index.php/Design_Document_for_E1632._Collusion_detection
http://bit.ly/26pnBw5
https://github.com/expertiza/expertiza/pull/680
</t>
  </si>
  <si>
    <t>"instructor can input a parameter k, and the collusion detection algorithm can detect review cycles with in k nodes (users).
A new ""collusion report"" page has been added. but the information displayed was limited"
"Code inevitably requires heuristics, since the problem is NP-complete.
Documentation does not seem to be up-to-date, does not say how to display results."</t>
  </si>
  <si>
    <t>Final Project Design Document_Team3</t>
  </si>
  <si>
    <t>The cycle detection may miss come cycles.
There should be UI which allow instructor to input the k.
There should be some visulization, or at least table of cycles in the report page.</t>
  </si>
  <si>
    <t>hkumbum kvysyar vrajadh dsonawa</t>
  </si>
  <si>
    <t xml:space="preserve">http://wiki.expertiza.ncsu.edu/index.php/CSC/ECE_517_Spring_2016_E1631_Team-based_reviewing
</t>
  </si>
  <si>
    <t>"1. It seems that the logic of ""get_reviewer_from_response_map"" is wrong.
2. What does ""get_participant"" used for?
3. It seems that review_mapping_controller.rb L401 is wrong.
4. Almost no test written."
"Add a field ""reviewer_is_team"" to response_maps.
If one person of team do the review, the other team member(s) should also see the review done in ""others' work"""
"I don't like the repeated checking of reviewer_is_team.  Would there be a better way to implement this?
The video is long, but demonstrates functionality well.
Demo doesn't show what happens when overlapping updates of a review are attempted.  There is no lock at this point.
Only ~ 100 LoC added.
Yang thinks the wrong student may be able to edit responses.
Tests: Added a field in assignment_spec.rb to check that reviewer_is_team is non-null.
Writeup is mostly comments that could have been added to code.  It unnecessarily describes components we already know about."</t>
  </si>
  <si>
    <t>Final Project Design Document_Team16</t>
  </si>
  <si>
    <t>Design doc is mostly screenshots of code, which don't explain enough about why the project was coded the way it was. "There are too many checks of ""reviews_is_team"".
Login issue with action_allowed as pointed out during demo. 
There are too many screenshots of the code changed in the design doc."</t>
  </si>
  <si>
    <t>E1630</t>
  </si>
  <si>
    <t>E1629</t>
  </si>
  <si>
    <t>pmahish gshah2 jitesh nkerkar</t>
  </si>
  <si>
    <t xml:space="preserve">http://wiki.expertiza.ncsu.edu/index.php/CSC/ECE_517_Spring_2016_E1629_Performance_improvement_for_Course_%26_Assignment_Listing
https://www.youtube.com/watch?v=4UdDqgN45IE&amp;feature=youtu.be
http://152.7.99.160:3000/
https://github.com/jiteshmohan/expertiza
https://github.com/expertiza/expertiza/pull/676
</t>
  </si>
  <si>
    <t>"When instructor login, by default the tree display only show the private course/assignment.
In the course-level tree display, the assignments nodes are not loaded. They will be loaded when the user click on the course.
If click ""include others' item"", there will be additional items on the bottom of the list."
"1. Shorten the response time;
2. Did not load all nodes at the very beginning;
3. ""Include others' items"" checkbox will not be checked by default.
==comments==
should add some comments to explain variables like ""newParams"", and methods like ""get_children_node_ng"" or ""get_children_node_2_ng"""
"Show private courses by default on login
Save time by not loading all assgts. for all courses; reduces load time from 15.72 to 9.74 sec. [this isn't vy. well supported, tho]
Segregate public &amp; private courses, assgts. into two diff. sections (?)
It then fetches assgts. only when you click on a course.
All of my assignments are allegedly private; unless they changed it in their db, this is not correct.
Most of changes are in react.js, hardly any in controllers.
Added several test cases.
The writeup assumes that someone has read the project description.  This is not good, because a reader next year won't know where to find the project description."
They covered the changes requested by us in the implementation. ReactJs component is tricky and team did a good job in fixing the issues.
"Show private courses by default on login
Save time by not loading all assgts. for all courses; reduces load time from 15.72 to 9.74 sec. [this isn't vy. well supported, tho]
Segregate public &amp; private courses, assgts. into two diff. sections (?)
It then fetches assgts. only when you click on a course.
All of my assignments are allegedly private; unless they changed it in their db, this is not correct.
Most of changes are in react.js, hardly any in controllers.
Added several test cases.
The writeup assumes that someone has read the project description.  This is not good, because a reader next year won't know where to find the project description."</t>
  </si>
  <si>
    <t>Final Project Design Document_Team13</t>
  </si>
  <si>
    <t>Limited tests done, but then, there wasn't much that could be easily tested.
Design doc is rather sparse, not including the screenshot of the different course types (which doesn't explain much about the project).</t>
  </si>
  <si>
    <t>E1628</t>
  </si>
  <si>
    <t>rgopalk vbadugu mchinth jesankar</t>
  </si>
  <si>
    <t>http://wiki.expertiza.csc.ncsu.edu/index.php/CSC/ECE_517_Spring_2016_E1628_Visualization
https://github.com/expertiza/expertiza/pull/678
http://152.46.17.243:3000/
https://youtu.be/EXlEhGwQY9E</t>
  </si>
  <si>
    <t>"1. app/models/criterion.rb L163 and app/models/response.rb L58, I think it will be better to write in ternary operator
2. There is a big problem in this project. If I click ""ASC"" or ""DESC"" button the order of reviews will change. However the order of pop-up messages is not change when the order of reviews changes."
"Visualization
They claim there is a different color between the reviews.  There are, but there are big colored circles.  But they should be on the same line a the criterion.  I also don’t see the feedback with the criterion.
  If there were text feedback, it would be on the same line with the circle.
They did make the required mouse-over changes.
And they sorted the columns.
But sorting the reviews by clicking “Asc” and “Desc” is not clear, because it doesn’t say that reviews are being sorted.  There needs to be a better graphic for that.
Would be nice to have the circles include the max # of points.  But that will overflow the circle, in most cases.
view_team.html.erb is badly named; it renders the alternate view for scores."
"Background color for view_my_score page.
The review grades are displayed with background color from green to red.
On alternative view, if the user move the cursor to a cell, the user can see the question/comment.
The questions can be sorted on average review grades received."
"- your score : different colors on adjacent info, more compact fonts
- alternate views (heatmap) : on mouseover, info is shown, sorting ascending &amp; descending
-  show score circle icons besides the reviews
- sort heatmap based on avg and criterion (nice, could be improved by adding sortable icons on the header)
- "</t>
  </si>
  <si>
    <t>Final Project Design Document_Team4</t>
  </si>
  <si>
    <t>The score should be x out of y, or "x/y".</t>
  </si>
  <si>
    <t>E1627</t>
  </si>
  <si>
    <t>E1626</t>
  </si>
  <si>
    <t>sbobba3 skataka dasoni magoff2</t>
  </si>
  <si>
    <t xml:space="preserve">http://wiki.expertiza.ncsu.edu/index.php/CSC/ECE_517_Spring_2016/Badging_System
https://github.com/expertiza/expertiza/pull/673
https://youtu.be/T4qgo4esKbo
</t>
  </si>
  <si>
    <t>"Please change your wiki page name to include the project #.
There are 2 kinds of badges, Coursera &amp; ?Credly?
Badges can be awarded manually, or based on metrics once an assgt. is created.
        You can group together multiple assgts. for which a badges should be given.
                Is this for, e.g., writing &amp; programming?
        You can award badges to the top students, or to any student who meets a criterion.
Should be “Top n students”, not “Top ‘N’ students’!
        And that includes anyone tied with the nth student.
        Actually, it should just ask, The top how many students?
You can add badges to a group.
There’s a Badges tab on assgts.  (can we suppress that unless an instructor checks that (s)he wants to use badges?)
Way too much space betw. student IDs and their badges.
How do students (and others) see their badges?
        They’ve got to go through 2 steps to see the leaderboard or personal badges.
The badge display is very ugly!
To award a badge, you select the student from a dropdown.  (How is the dropdown populated?  From CourseParticipants &amp; AssgtParticipants?)
  From AssignmentParticipants, even if it is a course-level badge(!).
  So anyone who's done an assgt. is treated as if they are in the course ...
  This could be confusing.
If someone doesn't have a Credly acct. yet, the instructor can't award them a badge manually.  (But if they have an acct. &amp; it hasn't been confirmed, they can be awarded badges but they won't show up yet.)"
"Instructor can select a few assignments and apply one single rule. -&gt; but this use assignment participants, not the cours_participants
They change the leader board to display the badges for each course."
"Assignment badges
Course badges
Leaderboard
specifying badges Functionality looks good. Need to go through code to see how they have implemented."</t>
  </si>
  <si>
    <t>Final Project Design Document_Team14</t>
  </si>
  <si>
    <t>Please change your wiki page name to include the project #.
The UI needs to be improved (e.g. on the leader board).
Limited test done.</t>
  </si>
  <si>
    <t>E1625</t>
  </si>
  <si>
    <t>mlakshm ashendg bghagar kpjani</t>
  </si>
  <si>
    <t xml:space="preserve">http://wiki.expertiza.ncsu.edu/index.php/CSC/ECE_517_Spring_2016_E1625_Show_confidence_ratings_for_grade_based_on_reputations_of_reviewers
http://screencast-o-matic.com/watch/cDfOV71HzG
https://github.com/expertiza/expertiza/pull/677
</t>
  </si>
  <si>
    <t>"1. Test is not complete
2. grades_controller.rb, L70 is redundant.
3. Many whitespace changes in app/models/participant.rb
4. Instead of hard-coding the background color, they can change them to css styles c1~c5."
"select reputation algorithm on assignment edit page.
instructors can see reputations on view_scores page
students can see their own reputations on view_my_scores page.
Instructor send request to webservice, the webservice calculate the reputations and Expertiza end will record the reputation in participants table (there is a column for hamer and another column for lauw reputation). "
"Reputation alg. is visible on the General page.
Shows reviews w/reputations displayed below the scores they gave.  (But that’s not a conf. interval!)
Which table is it that scores are inserted into?
The video ends abruptly; did he just want to show Hamer reputation #s? [The recorder wasn't detecting audio &amp; was cutting out after 10 s.]
Only instructor can see the reputation (I think this is bad).
The Participants table has 2 cols., for reputations in Lauw &amp; Hamer alg. &amp; a boolean to say which to use.
Hamer &amp; Lauw are hardwired into the code, even to the point that there are separate if stmts. to check which is being used."</t>
  </si>
  <si>
    <t>Final Project Design Document_Team22</t>
  </si>
  <si>
    <t>Lauw is a boolean in db in assignments table, which is not correct. We may have more repu. algorithms
limited testing done.</t>
  </si>
  <si>
    <t>E1624</t>
  </si>
  <si>
    <t>xpan yjin6 hguan2 schen35</t>
  </si>
  <si>
    <t xml:space="preserve">http://wiki.expertiza.ncsu.edu/index.php/CSC/ECE_517_Spring_2016_E1624_Compose_functional_tests_for_Suggest_topics_of_student_functionality
https://github.com/hawkwoodye/expertiza
https://www.youtube.com/watch?v=xyuJiokVjfQ
</t>
  </si>
  <si>
    <t>"All three test cases.
=====comment======
1. some dup code should move to a method (create assignment and add participant)"
The submission, approval and switch of suggested topic.
"Three functional tests for suggesting a topic.
1. Can they suggest a topic?
2. Can they change from an old topic to a new one?
3. Can others register under their topic?
These tests go by fast but would be easy to watch again.
In their tests, they have only student-suggested topics, not any topics created by instructor.
Tests seem well conceived.
Need to remove resubmission &amp; rereview types."
"Test for students suggest topics and instructor approved topics
test cases and scenario are well defined"</t>
  </si>
  <si>
    <t>Final Project Design Document_Team7</t>
  </si>
  <si>
    <t xml:space="preserve">Should use Factory Girl to create assignment.
Duplicated code on instructors' logging in and approving the topics
</t>
  </si>
  <si>
    <t>E1623</t>
  </si>
  <si>
    <t>E1622</t>
  </si>
  <si>
    <t>E1621</t>
  </si>
  <si>
    <t>ewhorton mxu ychen71 sju2</t>
  </si>
  <si>
    <t xml:space="preserve">https://github.com/expertiza/expertiza/pull/671
http://wiki.expertiza.ncsu.edu/index.php/CSC/ECE_517_Spring_2016_E1621_Refactor_and_Test_the_Quizzing_Feature
https://www.youtube.com/watch?v=esPNYLF34E0&amp;feature=youtu.be
https://docs.google.com/document/d/1Rmq3-PfpmMeYFIOlP5Ik5pMWHbg-x-DzNfP5hDOXYfs/
</t>
  </si>
  <si>
    <t>"1. Refactor
2. Tests
======comments============
1. I think refactor is good. But you had better to rename some method names ""quiz_questionnaire"" and ""questionnaire_errors""
2. Too many dup code in before each"
"Refactored the quiz validation methods.
Created some test cases on valid an invalid quizzes."
"Refactor &amp; test quizzes
Fuzzy video … not enough resolutions.
Refactored validate_quiz.  But update_quiz still seems pretty long.
Then he runs the tests.  Should have tested quizzing functionality after the refactoring!  To some extent, the automated quizzing suffices.  I should ask qq. to determine exactly how much functionality is tested.
They walk us through the rest of the tests in the documentation, say they didn't want to put it in the video because it would've been too long.  But they could have narrated it."
"some of the test cases, and rspec code
some of the refactored code is demonstrated
Video presentation was too fast, they should pick an example and focus on explaining that feature.
"</t>
  </si>
  <si>
    <t>Final Project Design Document_Team12</t>
  </si>
  <si>
    <t>This is a testing project, and the design doc has only 1 1/2 lines on testing! The document did not cover much detail on how this project is tested</t>
  </si>
  <si>
    <t>E1620</t>
  </si>
  <si>
    <t>rroycho ptrived tpande kpalani5</t>
  </si>
  <si>
    <t>http://wiki.expertiza.ncsu.edu/index.php/CSC/ECE_517_Spring_2016_E1620_Improve_Survey_Functionality
https://github.com/expertiza/expertiza/pull/679
https://youtu.be/4XF_uEigsPQ</t>
  </si>
  <si>
    <t>"New icon on tree display (course level) which can bring instructor to assign_survey page.
There is a drop-down list of surveys available.
Instructor can select multiple. Do not really understand..
For each survey, instructor can add students (really slow to load).
There is also a link which can help instructor add global survey to the current survey. Multiple global survey can be added. (after assigning global survey, the page does not go back to the previous one!)
There is also one ""edit survey deployment"", which can set the start and end date.
"
"No audio!  (Well, just background noise.)
Added two links to every course, one for Assign survey &amp; one for View survey responses
Two levels of selecting surveys: First choose ""My surveys"" or ""All public surveys,"" then the survey.
""Add students"" -&gt; ""Add participants""
But they were only able to assign survey to a few students?!  (Those are the course participants.)
There is a lot of response latency, which should have been edited out.
“Edit Deploy” should be “Edit deployment”
They need to put spaces betw. the links on the same line.
They only show course surveys, but say assgt. surveys also work.  They fixed the existing code.
Design doc seems pretty appropriate, wrt. the text it includes.  There are few diagrams or screenshots, though.
Tests seem good, from the documentation."</t>
  </si>
  <si>
    <t>Final Project Design Document_Team28</t>
  </si>
  <si>
    <t>There are old code related to suvey which are not removed.
The video did not show how can students fill in the survey. It was not showed in the demo either.
Limited test done.</t>
  </si>
  <si>
    <t>2016 Spring OSS</t>
  </si>
  <si>
    <t>E1615</t>
  </si>
  <si>
    <t>skunapa ndhanir mchinth</t>
  </si>
  <si>
    <t xml:space="preserve">https://github.com/expertiza/expertiza/pull/659
https://github.com/harsha1007/expertiza
http://152.7.99.78:3000/
http://wiki.expertiza.ncsu.edu/index.php/CSC/ECE_517_Spring_2016/Refactor_review_mapping_controller.rb
</t>
  </si>
  <si>
    <t xml:space="preserve">They did all the work mentioned in writeup. However, for that huge method "automatic_review_mapping", more refactors are still needed. For example, separating the random number generation code into a new private method. </t>
  </si>
  <si>
    <t>OSS project/Writing assignment 2_Team23</t>
  </si>
  <si>
    <t>Description of ReviewMappingController is incorrect.  Topics are not assigned automatically to reviewers.  Submissions may be assigned automatically, but only if "Auto-selected" reviewing is being used.  In the middle of the paragraph, you switch from talking about a UI user to talking about a programmer, without ever specifying the change.
The code snippets you show are hard to read because they scroll off the right side of the screen. 
It would be easier for the user to pick up the changes if "before" and "after" views were shown side by side.</t>
  </si>
  <si>
    <t>E1614</t>
  </si>
  <si>
    <t>ashendg ptrived rroycho</t>
  </si>
  <si>
    <t xml:space="preserve">https://github.com/expertiza/expertiza/pull/657
http://wiki.expertiza.ncsu.edu/index.php/CSC/ECE_517_Spring_2016/Refactor_response_controller
http://152.46.17.77:3000/
</t>
  </si>
  <si>
    <t>Team completed the task assigned to them. There were many typos in the github comments. Comments must be added before the code changes to make it easy to understand the intent of your code blocks.
The logic of action allowed is not correct: it should return false if 1) is_submitted and 2) current user is not the reviewer. The moved line "current_user_id?(response.map.reviewer.user_id)" will not return anything. This line in edit block should come after the if block.</t>
  </si>
  <si>
    <t>OSS project/Writing assignment 2_Team21</t>
  </si>
  <si>
    <t>The code snippets are rather large, and they really don't show the changes done.  They seem to be the "after" view.
It would be better to show before &amp; after side by side, as is shown in Github.</t>
  </si>
  <si>
    <t>E1613</t>
  </si>
  <si>
    <t>vbadugu rgopalk jitesh</t>
  </si>
  <si>
    <t xml:space="preserve">https://github.com/expertiza/expertiza/pull/661
http://wiki.expertiza.ncsu.edu/index.php/CSC/ECE_517_Spring_2016/Refactor_sign_up_sheet_controller.rb_and_sign_up_topic.rb
https://github.com/rgkavodkar/expertiza
http://152.46.17.243:3000/
</t>
  </si>
  <si>
    <t>Tests do not work because they used production data. Reminded them but they did not respond.
View publishing rights page also shows the team who are on the waiting list. They should be filtered out.
Other than that, the display of sign up topics works, the topic importing works. Refactor was done in the way as we discussed in Emails. Some unused methods were removed also.</t>
  </si>
  <si>
    <t>OSSProjectTeam</t>
  </si>
  <si>
    <t>Good narrative describing changes made.
Topic headers "WI-1", etc. are not very informative, esp. in the Table of Contents.  You should explain what "WI" stands for and write out a short name of the change you made.</t>
  </si>
  <si>
    <t>E1612</t>
  </si>
  <si>
    <t>E1611</t>
  </si>
  <si>
    <t>sshaikh2 gshah2 nraina</t>
  </si>
  <si>
    <r>
      <rPr>
        <rFont val="arial,sans,sans-serif"/>
      </rPr>
      <t xml:space="preserve">https://github.com/nikraina/expertiza.git
http://wiki.expertiza.ncsu.edu/index.php/CSC_517_S2016_E1611_Refactor_team.rb,_course_team.rb,_and_assignment_team.rb
http://152.46.20.217:3000/
</t>
    </r>
    <r>
      <rPr>
        <rFont val="arial,sans,sans-serif"/>
        <color rgb="FF1155CC"/>
        <u/>
      </rPr>
      <t>https://github.com/expertiza/expertiza/pull/666</t>
    </r>
    <r>
      <rPr>
        <rFont val="arial,sans,sans-serif"/>
      </rPr>
      <t xml:space="preserve">
</t>
    </r>
  </si>
  <si>
    <t>All functionality seems to work correctly.
Whitespace changes make it look like a lot more lines have been changed than actually have.
But, no test cases were written.</t>
  </si>
  <si>
    <t>OSS project/Writing assignment 2_Team15</t>
  </si>
  <si>
    <t>It's not easy to see what changes have been made to code snippets.  The "before" and "after" versions are hard to compare.</t>
  </si>
  <si>
    <t>E1610</t>
  </si>
  <si>
    <t>E1609</t>
  </si>
  <si>
    <t>E1608</t>
  </si>
  <si>
    <t>yjin6 hguan2 schen35</t>
  </si>
  <si>
    <t xml:space="preserve">https://github.com/schen35/expertiza
https://github.com/expertiza/expertiza/pull/652
http://152.46.16.64:3000/
http://wiki.expertiza.ncsu.edu/index.php/CSC/ECE_517_Spring_2016/Refactor_and_write_unit_tests_for_question_type.rb
</t>
  </si>
  <si>
    <t>Questions cannot be created in a new rubric.
They touched some exisitng functional test (spec/features/peer_review_spec.rb). Since this team is asked to do unit test, those code should not be touched.</t>
  </si>
  <si>
    <t>OSS project/Writing assignment 2_Team1</t>
  </si>
  <si>
    <t>The wiki does not include the information on how to test the code manually.
And it is quite mechanical, with little explanatory prose.
However, the text that is there manages to do a very good job of drawing attention to what was done.</t>
  </si>
  <si>
    <t>E1607</t>
  </si>
  <si>
    <t>xpan bghagar gsrajadh</t>
  </si>
  <si>
    <t>https://github.com/expertiza/expertiza/pull/664
http://wiki.expertiza.ncsu.edu/index.php/CSC/ECE_517_Spring_2016/Functional_tests_for_assignment_creation_function
https://github.com/panxing01/expertiza
http://screencast-o-matic.com/watch/cDeU2J1umd</t>
  </si>
  <si>
    <t>The db shema was submitted, but this is a testing project.
Some test cases are pending. And you did not follow the writeup strictly. For instance, you do not need to test the "staggered deadline" part since it did not mention in writeup.  Also, you did not write test cases for ‘Due dates’ tab.</t>
  </si>
  <si>
    <t>OSS project/Writing assignment 2_Team9</t>
  </si>
  <si>
    <t>The class hierarchy didn't need to be included in this document.  Not sure why it was.
The wiki is supposed to explain why you've written what you wrote.  But you seem to have copied the code and inserted only a line or two, not much more than in the comments in the code file.</t>
  </si>
  <si>
    <t>E1606</t>
  </si>
  <si>
    <t>kpalani5 sju2 mlakshm</t>
  </si>
  <si>
    <t>https://github.com/kpalani5/expertiza/blob/master/spec/features/questionnaire_spec.rb
http://wiki.expertiza.ncsu.edu/index.php/CSC/ECE_517_Spring_2016/Functional_Tests_for_Questionnaire_Controller
https://github.com/expertiza/expertiza/pull/658</t>
  </si>
  <si>
    <t>Their code is clean and easy to read. And they did all work mentioned in writeup. They wrote some "shallow" test cases (eg. Line 116, when you try to check whether a criterion question is saved successfully or not, you had better add more detailed expectations, instead of just checking whether "All questions has been saved successfully!" is shown on the page.)</t>
  </si>
  <si>
    <t>OSS project/Writing assignment 2_Team26</t>
  </si>
  <si>
    <t>Looks like a very good writeup, at the appropriate level of detail.
Code snippets would've been more readable if they'd been single-spaced.</t>
  </si>
  <si>
    <t>E1605</t>
  </si>
  <si>
    <t>gfan</t>
  </si>
  <si>
    <t>OSS project/Writing assignment 2_Team22</t>
  </si>
  <si>
    <t>E1604</t>
  </si>
  <si>
    <t>ewhorton mxu ychen71</t>
  </si>
  <si>
    <t xml:space="preserve">https://github.com/EricHorton/expertiza
http://wiki.expertiza.csc.ncsu.edu/index.php/User:Ewhorton
https://www.youtube.com/watch?v=j_7c7WoL8uE
https://github.com/expertiza/expertiza/pull/654
</t>
  </si>
  <si>
    <t>They did a good job, although some of their test cases need to add more detailed expectations. (eg. Line 199, your test case is to ensure a submitter can be added into certain assignment. But you just check whether certain student's name on the page or not. Actually student's name will appear on the page when you try to add a participant, a submitter, a reviewer or a reader). This project has some duplicated code before. After I talked to them, they fix this problem.</t>
  </si>
  <si>
    <t>OSS project/Writing assignment 2_Team8</t>
  </si>
  <si>
    <t>"You used a nonstandard page name.
Too much of the page consists of lists.  Using lists is fine, but there should have been narrative describing them."</t>
  </si>
  <si>
    <t>E1603</t>
  </si>
  <si>
    <t>pmahish nkerkar pkulkar5</t>
  </si>
  <si>
    <t xml:space="preserve">https://github.com/expertiza/expertiza/pull/662
http://wiki.expertiza.ncsu.edu/index.php/CSC/ECE_517_Spring_2016/Refactor_user_course_participant_and_assignment_participant_model
http://152.7.99.160:3000
</t>
  </si>
  <si>
    <t>The helper method "files" does not work and is unreachable from the callers. This can be easily tested by login as "student5900" and click "Wikipedia contribution" -&gt; "Your work"
In the test, the cases related to 1.txt and 2.txt are failing because they are your local files.
The test case "#get_user_list" does not really test anything.</t>
  </si>
  <si>
    <t>OSS project/Writing assignment 2_Team24</t>
  </si>
  <si>
    <t>Basically a good job.  Would have been nice to see a few more short code sequences</t>
  </si>
  <si>
    <t>E1602</t>
  </si>
  <si>
    <t>jesankar tpande dasoni</t>
  </si>
  <si>
    <t xml:space="preserve">http://wiki.expertiza.ncsu.edu/index.php/CSC/ECE_517_Spring_2016/Refactor_different_question_types_from_quiz_feature
https://github.com/expertiza/expertiza/pull/663
http://152.7.99.144:3000
https://github.com/WumpaFruit/expertiza
</t>
  </si>
  <si>
    <t>Display of MutipleChoiceRadio is broken due to undefined variable when quiz taker tries to take quiz.
Dieplay of MutipleChoiceCheckbox is broken.
Error reported in Student_quizzes_controller.calculate_score  when quiz taker submits their quiz response.
Display broken on viewing finished quiz for MultipleChoiceCheckbox.
Display of TrueFalse is broken due to undefined variable when quiz take tries to take quiz.</t>
  </si>
  <si>
    <t>OSS project/Writing assignment 2_Team27</t>
  </si>
  <si>
    <t>Some of the explanations are rather dense (which is to say that they could explain it more clearly by going into more detail).
Some of the code sequences are too long (more than a page) without any commentary.  Could explain the code more fully.</t>
  </si>
  <si>
    <t>E1601</t>
  </si>
  <si>
    <t>agupta27 hkumbum kvysyar</t>
  </si>
  <si>
    <t xml:space="preserve">https://github.com/hkumbum/expertiza
https://github.com/expertiza/expertiza/pull/655
http://152.46.18.24:3000
http://wiki.expertiza.ncsu.edu/index.php/CSC/ECE_517_Spring_2016/OSS_E1601
</t>
  </si>
  <si>
    <t xml:space="preserve">Appropriate changes were made to the code.
We do not understand the changes made in student_task.rb.
Why were new gems for testing added?  What functionality do they enable?
In the test, the submitting files is not tested. </t>
  </si>
  <si>
    <t>OSS project/Writing assignment 2_Team16</t>
  </si>
  <si>
    <t>"It starts out with a synopsis of Expertiza (unnecessary) and a fairly unreadable explanation of what is wrong.
But after that, it describes the changes very well."</t>
  </si>
  <si>
    <t>E1600</t>
  </si>
  <si>
    <t>skataka sbobba3 magoff2</t>
  </si>
  <si>
    <t>https://github.com/expertiza/expertiza/pull/656
http://wiki.expertiza.ncsu.edu/index.php/CSC/ECE_517_Spring_2016_/_Expertiza_Self-Review_Feature
https://youtu.be/xaR8mD3t6RY
http://152.7.99.42:3000/</t>
  </si>
  <si>
    <t>They followed existing bad practice of testing ResponseMap.type instead of using polymorphism.
They changed a lot of whitespace; these were good changes, but doing them in the same commit with other changes leads to confusion during merging.
Tests use objects from the anonymized db, as well as fixtures.  But they re-create some fixtures that are also in the system.
Their tests are in the original Rails framework, rather than in Rspec.
The redering of the "self-review" partial was rendered in "main" partial, this makes the authors see "view" and "edit" when they do the self-review, which could be confusing.</t>
  </si>
  <si>
    <t>OSS project/Writing assignment 2_Team2</t>
  </si>
  <si>
    <t>A lot of the wiki is simply a copy of the requirements doc.
They mentioned that they didn't use design patterns other than MVC, but they also didn't describe any principles they used, e.g., how they added the new rubric type into the existing types.</t>
  </si>
  <si>
    <t>2015 Fall Final</t>
  </si>
  <si>
    <t>E1591</t>
  </si>
  <si>
    <t>Integration testing for peer review</t>
  </si>
  <si>
    <t>agarg10 pmukher meschwei athakur3</t>
  </si>
  <si>
    <t>https://github.com/MaxSchweizer/expertiza.git
https://github.com/expertiza/expertiza/pull/626
https://www.youtube.com/watch?v=gCOfqAC0cC0&amp;feature=youtu.be
http://wiki.expertiza.ncsu.edu/index.php/CSC/ECE_517_Fall_2015_E1591_Integration_testing_for_peer_review</t>
  </si>
  <si>
    <t>"They tested questionnaire creation, question creation and rubric filling.
They pre-defined everything the need before they do the testing, which is the right thing to do.
The cache field in the ""role"" table is also loaded by their code. This filed is really long and almost not used anymore."
"- Testing scenario for peer review
- Created prebuilt data before testing
- Tested multiple scenarios"
Integration testing for peer review.
"Integration tests for peer review
Log in, select assgt., pull up review.
Majority of code is setting up db objects &amp; dependencies.
They wrote 6 tests altogether.
They cover ~ 29% of code base.
Good, short video.
Test infrastructure set up so we can use it to write new tests.
"</t>
  </si>
  <si>
    <t>Final project team</t>
  </si>
  <si>
    <t>E1590</t>
  </si>
  <si>
    <t>Integration testing for Team creation</t>
  </si>
  <si>
    <t>bzhang24 bjhaver vravi2 mzhang18</t>
  </si>
  <si>
    <t xml:space="preserve">http://wiki.expertiza.ncsu.edu/index.php/CSC/ECE_517_Fall_2015_E1590_Integration_testing_for_Team_creation
https://github.com/BhargavJhaveri/expertiza
https://github.com/expertiza/expertiza/pull/625
https://youtu.be/oMux6vpLnGs
</t>
  </si>
  <si>
    <t>"The process of creating the fixture files and how to do test.
Some tests are quite shallow."
"Student can select a topic, send invitation, accept invitation.
They used factory girl which made their testing not depend on pre-existing production db.
They did not expect correct key words. -&gt; sort of ""shallow"" to me.."
"Integration testing for team creation
Uses Capybara/Factory Girl
Invitations processed, topics assigned
Creates objects w/Factory Girl.
Stub current user &amp; current role
8 possible scenarios
Db ""cleaned"" before each example.  But, for Student2064, they ?use a db query anyway?.
Yatish gives advice on improving the code.
Only one person committed (Viswa Teja), but they claim to have worked together.
Code not indented very well (but now may be fixed).
Biggest problem is creating data.  (They didn't know about db documentation.)
Yang: You only search keywords ""Your topic"" instead of the name of the topic.
Documentation is a flow diagram &amp; mostly unexplained code sequences."
"- Capybara feature test for team creation
- FactoryGirl test data creation
- Cleaner code required, indentation, code snippets 
- Negative scenario tests could be added. "</t>
  </si>
  <si>
    <t>Final Project, Fall2015_Team3</t>
  </si>
  <si>
    <t>E1589</t>
  </si>
  <si>
    <t>Automating production setup and deployment</t>
  </si>
  <si>
    <t>amurark ahussai4 agarg9 psinaik</t>
  </si>
  <si>
    <t xml:space="preserve">https://www.youtube.com/watch?v=T3e4LqRNvio&amp;feature=youtu.be
http://wiki.expertiza.ncsu.edu/index.php/CSC/ECE_517_Fall_2015_E1589_Automating_production_setup_and_deployment
https://github.com/amurark/knife-solo
</t>
  </si>
  <si>
    <t>"They created a chef-solo project and demo this on a Droplet virtual server (this is paid virtual server).
It seems that this team has automated almost everything to set up a virtual machine: install ruby gems, pull expertiza code, install java, install mysql, dump db, start the server..."
"- Chef recipe for orchestration and deployment
- Install needed package and seed database
- Install all dependencies for running and deploy expertiza "
"Demo was fast  but good.
The scripts were neatly written and broken down into independent features."
"Automate setup and deployment
 To allow someone to set Expertiza up on their server in one step, e.g., a new project member, even
[Audio level is very low.]
Hard to follow the steps.
What is the selecting a $20/mo. plan at the beginning?
How do you get this to work?
Sync
Clone copy
Mysql script
"</t>
  </si>
  <si>
    <t>Final Project, Fall2015_Team19</t>
  </si>
  <si>
    <t>E1588</t>
  </si>
  <si>
    <t>Converting Assignment creation form to ReactJS</t>
  </si>
  <si>
    <t>kmjos lsanche dabenavi jeclark4</t>
  </si>
  <si>
    <t>https://github.com/expertiza/expertiza/pull/639
https://www.youtube.com/watch?v=ydy4J6mAb2w&amp;feature=youtu.be</t>
  </si>
  <si>
    <t>"Silent video. =(
The video did not show creating assignment but only editing it.
The checkboxes and content in textfields can be edited, but the video did not show if they can be saved or not.
Creating topics works.
This team did not import production db so there was no wiki type and existing rubrics. Not clue if saving them works or not.
I really need to ask them to bring up there test system instead of playing the video."
"Converting assgt. creation to ReactJS.
No audio on video?!
They show checking all checkboxes; why?
Since there’s no contrast w/existing code, it’s not clear what they did.
Luis: Nothing works as advertised in ReactJS.
  Other uses of ReactJS in Expertiza don't use the std. mechanism.
  There was a reactJS folder in Expertiza; it still worked after it was deleted, as it was included as a gem.
What was done: Review strategy tab, creation of topics, wiki types
Yatish asks qq. about style.
To convert the whole assgt., would have started off w/assgt. editor, &amp; components for individ. tabs.
Design doc is a Word file, not on a wiki!  And it is corrupted."
"- Took effort to understand ReactJS and how it needs to be designed for expertiza
- Needed one full fledged working component for demo which was missing."</t>
  </si>
  <si>
    <t>Final Project, Fall2015_Team6</t>
  </si>
  <si>
    <t>E1587</t>
  </si>
  <si>
    <t>Improvements to password recovery and repeated login failures</t>
  </si>
  <si>
    <t>fvravani rnmandge nkale rshah5</t>
  </si>
  <si>
    <t>https://github.com/expertiza/expertiza/pull/624
https://github.com/rahulpshah/expertiza
https://drive.google.com/file/d/0B1iXLy8PYsCySXJxNUh6cnZzOWs/view?usp=sharing</t>
  </si>
  <si>
    <t>"User, with the correct user_id, can  try to login 3 times w/o captcha. After 4th time, user has to input captcha code. The block time is exponential backoffed.
When a user request to set the password, (s)he will receive a hyperlink and this hyperlink can only be used once to set the password."
"Exponential backoff using captcha, pw. decoding
The 4th x the user tries to log in, he has to solve a captcha (using open-source SimpleCaptcha &amp; Image Magic).
Missing it results in a 2-min. lockout, which doubles each x.
And a notifier tells you when you can next attempt to log in.
Also it sends links where you can change your pw.
But you can only use the link once.
Yang: You can block another user from logging in by purposely mistyping his pw.
Nikhil: Any limit on exponential backoff?  Could so. be blocked for a year?
Evid. they used their OSS project repo for their final project, which will cause trouble.
Time till user can log in should be expressed in user's timezone, not UTC."
"They've implemented all the features that we asked them to do.
The demo video was very long."
"- exponential backoff for relogin
- send email for resetting the password"</t>
  </si>
  <si>
    <t>Final Project, Fall2015_Team12</t>
  </si>
  <si>
    <t>E1586</t>
  </si>
  <si>
    <t>Anonymous chat between author and reviewer</t>
  </si>
  <si>
    <t>rahuja sgulati2 nmshah5 agohil</t>
  </si>
  <si>
    <t xml:space="preserve">http://wiki.expertiza.ncsu.edu/index.php/CSC/ECE_517_Fall_2015_E1586_AnonymousChatBetweenAuthorAndReviewer
https://www.youtube.com/watch?v=8E-hYiJVoZI&amp;feature=youtu.be
https://github.com/expertiza/expertiza/pull/628
https://github.com/gohilankit/expertiza/tree/fall2015
</t>
  </si>
  <si>
    <t xml:space="preserve">"Video is 15 min. long!  We could start at the 3-min. mark w/o missing much.  Or even 5 min.
“Post your query to the author” should be changed to, “Open chat with …” or something similar.
ReviewChat (ReviewChatsHelper should be changed to ReviewChatHelper).
If multiple authors respond, each one creates an entry in the dialogue.
 They assert that authors &amp; reviewers see the same interf.
""Click to see the Chat log."" just appears AFTER the reviewer submits a q.
Message “A query has been posted for your submission .” also needs to be revised, &amp; mention the assgt.
How does the author get directed to the question without going thru the link in e-mail?
Each x a query is posted, an e-mail is sent.  But suppose an answer has been posted; is the questioner notified?
Reviewer gets a link too when the author responds.
Reviewer can go to the end of the review to get the link to the chat, but currently, authors can't.
Would be good to have display update as entries are added to the chat.
Testing: Did both manual testing &amp; wrote tests  Don't check whether author can see what reviewer wrote.
Implementation is in controllers rather than models: Nikhil J.
They put text inside the code rather than using strings assigned elsewhere.."
"I do not like the UI design. The peer-reviewer send the anonymous chat on the same page they do the peer review does not sound like a good idea. I would rather have a different view displaying the anonymous discussion. The anonymous discussion can be independent to peer-review process, anyway.
They have created new model and new controller (for review_chats) which is the right thing to do.
How to peer_reviewer and reviewee access the anonymous chat page? It is not unclear from video.."
"1) Demoed chat feature between author and reviewer
2) Demoed the chat history feature.
3) Demoed the email functionality.
4) Demoed the db table structure.
Comments:
Email code should be changed to use the partials.
"
The team showed that reviewer has added a query and a mail was sent to the authors. Then, any of the authors can add the a response and all the chats will be seen by everyone in the team and the reviewer.
</t>
  </si>
  <si>
    <t>Final Project, Fall2015_Team2</t>
  </si>
  <si>
    <t>E1585</t>
  </si>
  <si>
    <t>Use Ajax for Add Participants, Add TA ,Edit Questionnaires Screens,</t>
  </si>
  <si>
    <t>aagrawa7 svvuriti amozumd vpaul</t>
  </si>
  <si>
    <t xml:space="preserve">https://www.youtube.com/watch?v=Md071R2JYvU&amp;feature=youtu.be
http://wiki.expertiza.ncsu.edu/index.php/CSC/ECE_517_Fall_2015_E1585_Use_Ajax_for_Add_Participants,_Add_TA_,Edit_Questionnaires_Screens
http://152.7.99.162:3000/
http://github.com/expertiza/expertiza/pull/635
https://github.com/vntpaul/expertiza
</t>
  </si>
  <si>
    <t>"Applied AJAX on editing assignment participants, adding TAs and adding criterion.
Not sure if it also work well for deleting and editing.
""Mytable"" is a bad name that they should change.
Does adding participants works for both adding assignment participants and course participants?"
"They spent some time researching ajax before starting the project as ajax was not used before in Expertiza.
1) Implemented ajax for Add participants screen. Now rows get dynamically added with out loading all the participants. This is performance improvement as well.
2) Implemented ajax for Add TA screen.
3) Implemented ajax for Adding questions in Questionnaires.
"
"Showed adding a participant, that records are not re-fetched from the db, and the display is not redisplayed.
And adding a TA.
For questionnaires, the whole table was being sorted every time.
Could be tested with Selenium, but tests have not been written.
This works for adding entities, but not editing or removing, but editing could be done in a similar way.
"
The modifications of the code and the screenshots.</t>
  </si>
  <si>
    <t>Final Project, Fall2015_Team21</t>
  </si>
  <si>
    <t>E1584</t>
  </si>
  <si>
    <t>Send Feedback to Support</t>
  </si>
  <si>
    <t>kbhanda2 sgandhi4</t>
  </si>
  <si>
    <t>http://wiki.expertiza.ncsu.edu/index.php/CSC/ECE_517_Fall_2015_E1584_Send_Feedback_to_Support
https://youtu.be/GoZINRSsNRI
https://github.com/expertiza/expertiza/pull/643</t>
  </si>
  <si>
    <t>"No video submitted yet (at 10:30 pm Dec. 15th)
The project requirement mentioned about captcha. -&gt;if this message to support team can only be submitted by logged in users, this captcha may not be very necessary.
This project requires some pre-defined rules, e.g., the user can only try fixed amount of time then the user has to wait. It will not hurt too much to hard-wire those rules. -&gt; This team, however, create a table called ""Feedback_Settings"" and stored those settings. I would argue this design is not necessary. There is only one line in this table, right?
The project requires this team to store the submitted attachment in DB. -&gt; this team stored the submitted file in a blob field in DB. -&gt; Oh boy this is a bad way to use the db. The file should be stored somewhere in the file space in the server. Otherwise the size of DB will grow faster. "
"They covered all the changes mentioned in project description. This project can be extended in future based on future needs. But this is a good start for this feature.
Few  help fields for text boxes should be updated."
"- Submit a feedback to expertiza support 
- Send email to team once a feedback is sent
- Ruby/Rails style code followed
- Basic scenario testing was done"
"User feedback to expertiza-support
If user is logged in, the user's e-mail address is used (and cannot be changed).  Otherwise the user needs to enter an e-mail addr.
Gives them a form to fill out, and a captcha to do.
Can attach a file (only one? yes)
“A new feedback has been submitted” will not be too useful as a subject line.
The title should be sent as the subject of the e-mail (and should be renamed ""Subject"").
Yatish: The private key should not be in the downloadable repo!
Time should be given in user's preferred timezone
“Feedback” is a collective noun!
I don’t understand “wait duration” &amp; assoc. increment
"</t>
  </si>
  <si>
    <t>Final Project, Fall2015_Team1</t>
  </si>
  <si>
    <t>E1583</t>
  </si>
  <si>
    <t>Fix the CSS used for Menu Item</t>
  </si>
  <si>
    <t>rosoni sbalasu7 alakshm6 garadhy</t>
  </si>
  <si>
    <t xml:space="preserve">http://wiki.expertiza.ncsu.edu/index.php/CSC/ECE_517_Fall_2015_E1583_Fix_the_CSS_used_for_Menu_Item
https://www.youtube.com/watch?v=dJQa5PGlWv0
https://github.com/expertiza/expertiza/pull/638
</t>
  </si>
  <si>
    <t>"The menu button (3 bars button) has been moved to the left. -&gt; it is to the left of the system icon (2 wolves), is this the right thing to do? how about move the menu button on the right side of the system icon?
The distance between menu items is reduced.
If a menu item has sub-items, they will be displayed on the right side.
If the memu button is clicked, all the other content will be shift down, not covered by the menu"
"Fix CSS used for menu item.
This is because when the pixel width is &lt; 1170 or on a mobile, the main menu obscures the rest of the page, among other problems.
Menu button is now on left-hand side.
They reduced the height of menu items.  But the red banner still runs to the right of the screen.
 However, the content is pushed down below that.  (Ravi told them to do it that way.)
Show submenu items on right
(2 more items).
"
"- Push the main content below when menu is clicked
- Submenu is viewed on hover/click
"
"Fixed Menu height
Fixed Sub Menu
Fixed Content Height
"</t>
  </si>
  <si>
    <t>Final Project, Fall2015_Team5</t>
  </si>
  <si>
    <t>E1582</t>
  </si>
  <si>
    <t>Create integration tests for the instructor interface using capybara and rspec</t>
  </si>
  <si>
    <t>jshen6 zwu13 hma5 yli75</t>
  </si>
  <si>
    <t xml:space="preserve">http://wiki.expertiza.ncsu.edu/index.php/CSC/ECE_517_Fall_2015_E1582_Create_integration_tests_for_the_instructor_interface_using_capybara_and_rspec
https://github.com/expertiza/expertiza/pull/642
https://www.youtube.com/watch?v=B--Zn1QOgUA&amp;feature=youtu.be
</t>
  </si>
  <si>
    <t xml:space="preserve">
They did test in a very shallow way - testing if the page has specific key word
"Test cases are based on the development DB, and it will not pass the TravisCI.
They should not change the config/deploy.rb and .travis.yml file."
"Covers all the features as mentioned in the design document for the final project. Demo was good.
Hard-linked to database for testing."
"No audio!  And they just wait while the tests run, instead of editing wait time out.
Video shows running a test on creating an assgt., setting up a topic, deleting an assgt.
The tests run against the anonymized db we gave them, do not create their own objects.
Test for review scores just tests that the heading is right, does not check the content."</t>
  </si>
  <si>
    <t>Waikiki</t>
  </si>
  <si>
    <t>Tests are more shallow than for E1581  Grade was 88, but then they applied Factory Girl, &amp; now it's 91, despite fact that tests are still shallow.</t>
  </si>
  <si>
    <t>E1581</t>
  </si>
  <si>
    <t>Create integration tests for the student interface using capybara and rspec</t>
  </si>
  <si>
    <t>xkong2 hxia3 mwghobri cnbrown4</t>
  </si>
  <si>
    <t xml:space="preserve">http://wiki.expertiza.ncsu.edu/index.php/CSC/ECE_517_Fall_2015_E1581_Integration_testing_for_student_interface
https://github.com/xhy279/expertiza/tree/fall2015/spec/features
https://drive.google.com/open?id=0B3EOsci5DEveMGZOdVNIazJlNVE
https://drive.google.com/a/ncsu.edu/file/d/0B-l-xu44qiJUZDRFMU02U09kZWs/view?usp=sharing
https://drive.google.com/a/ncsu.edu/file/d/0B7dSj1bvwNp9X29TTHJMVFhPWkE/view?usp=sharing
https://github.com/expertiza/expertiza/pull/640
https://drive.google.com/a/ncsu.edu/file/d/0B80MLsKsoSOmWFdvYThJZzdCVVE/view?usp=sharing
</t>
  </si>
  <si>
    <t>"Student login--valid e-mail/pw. &amp; invalid
Add member to team--accept response
  Checks that invitation sender's name appears in request.
Selecting a submission to review
Students view scores, where scores are not yet &amp; are available.
And author feedback.
But tests need to be rewritten to use fixtures, not the anonymized db."</t>
  </si>
  <si>
    <t>Final Project, Fall2015_Team28</t>
  </si>
  <si>
    <t>but can revise tests to get at least 3 more points.  [They orig. had 89, were promised 3 pts. to revise, but revisions were ugly, so we only gave them 1.]</t>
  </si>
  <si>
    <t>E1580</t>
  </si>
  <si>
    <t>Text metrics</t>
  </si>
  <si>
    <t>sjolly pdeka msaikia kagarwa</t>
  </si>
  <si>
    <t xml:space="preserve">http://wiki.expertiza.ncsu.edu/index.php/CSC/ECE_517_Fall_2015_E1580_Text_metrics
https://github.com/expertiza/expertiza/pull/641
https://drive.google.com/open?id=0B2n8CbNwC_vCRzBGWjBYWFpDeXM
https://youtu.be/kmuuj5rOU0o
</t>
  </si>
  <si>
    <t>"A new link added to others' work page.
This program counts different words, total words, complete sentences (as number). --&gt; complete sentence are the sentences which have more than 7 words, hmm..
This program detects the existance of suggestions, offensive words and problem detection (as yes/no).  --&gt; why not also do this as numbers?
On the instructors view, this team addes a ""text metrics summary"" for each reviewer, this can be combined with ""reviewer summary page"", it really should..
Instructor will not be interested in seeing text metric for each peer-review. So the text metrics for each peer-review is not necessary at all on instructors' page.
Very limited dictionary:
offensive_words = Set.new([""anal"", ""anus"", ""arse"", ""ass"", ""ballsack""])
suggestion_words = Set.new([""should"", ""advise"", ""recommend"", ""recommendable"", ""recommendation"", ""try""])
error_words = Set.new([""wrong"", ""error"", ""problem"", ""issue"", ""problematic"", ""incorrect""])"
"Text metrics is a separate link, why note as a banner across View?  They say those were the req'ts.
Also, the font needs to be changed.
They are using their own dictionary; could they use WordNet instead?  Well, WordNet has lots more info assoc. w/each word.
There will be an extra line for each round.  If there's a second review in a round, it will overwrite the first round.
A single method calculates all metrics.  This is pretty messy.
Only test is that it calculates when passed a response ID &amp; doesn't if not passed a response ID."
"They used variable names like ""num1"" and ""num2"" which are not clear.
They hard coded the offensive words and suggestion words. It should not be the best way."</t>
  </si>
  <si>
    <t>GEMS</t>
  </si>
  <si>
    <t>The code was written in a bad style is the biggest issue. 
All the metrics were calculatd by a single method call.
Does not work with assignments which has more than 2 rounds</t>
  </si>
  <si>
    <t>E1579</t>
  </si>
  <si>
    <t>Instructor account creation over the web</t>
  </si>
  <si>
    <t>jbollab rnagaru rravill abonam</t>
  </si>
  <si>
    <t xml:space="preserve">http://wiki.expertiza.ncsu.edu/index.php/CSC/ECE_517_Fall_2015_E1579_Instructor_account_creation_over_the_web
https://www.youtube.com/watch?v=azd2amo6F3Q&amp;feature=youtu.be
https://github.com/expertiza/expertiza/pull/633
</t>
  </si>
  <si>
    <t>"Why it is called ""demo instructor sign up""? It should be ""new instructor sign up"".
I do not see the reason that we need to create new role called 'demo instructor"".
I am not sure those ""role_permissions"" added in the video are still working in Expretiza. This look like something from Goldburg, if so, they are not working any more.
There is Captcha feature, which is good to have.
What did they do to not display public items (courses, assignments) may have conflict with Ravi's change.
Do demo instructors always see the instruction page?-yes
Why created simple_captcha_data table in DB?- it came with a gem.
They created a seperate controller (demo controller) which helps filter out public items. This is a dirty design."
"Adding a new role ID, demo_instructor &amp; adding permissions (which permissions?)
 This is set up with Goldberg, but now is controlled by action_allowed?
 But it appears that demo_controller implements the functionality correctly.
Text “Demo Instructor Sign-Up” needs to be changed.
Instructor who logs in can watch a video (placeholder video right now).
Instructor can create public or private course or assgt.
&amp; edit his profile
Every time the demo instructor logs in, he is taken to the page where the intro video is.
There is no way to change a demo_instructor to an instructor, except by editing his profile.  (But what would be a better way of doing it?)
It would be good to have a test that the demo_instructor can't view public entities.
Design doc basically lists the changes, minimal description of design provided."</t>
  </si>
  <si>
    <t>Final Project, Fall2015_Team23</t>
  </si>
  <si>
    <t>They implemented what they were supposed to, but didn't have many, if any, tests.  They set up role in Goldberg, but that's probably not their fault.  However, they didn't add code to the action_allowed methods, and they would've needed to touch a lot of them.</t>
  </si>
  <si>
    <t>E1578</t>
  </si>
  <si>
    <t>Timestamps for students' submissions</t>
  </si>
  <si>
    <t>apandey5 aankara sjha3 bradhak_hidden</t>
  </si>
  <si>
    <t xml:space="preserve">https://drive.google.com/a/ncsu.edu/file/d/0B4zBwL9EjYUzc21hTERRQjN0ejg/view?usp=sharing
https://github.com/expertiza/expertiza/pull/637
https://docs.google.com/a/ncsu.edu/document/d/1Kvk8NtnqowxXBRAM5VONhpGd2Qk4jTu7yldqO41K6Zc/edit?usp=sharing
</t>
  </si>
  <si>
    <t>"They created new models: submission_history and hyperlink_contributor.
They created method call for submission_history.rb from hyperlink SubmittedContentController, ResponseController.
They did not demo the metadata they got from api provided by Git.
Use a gem called ""Whenever"" to pull the metadata (submission dates) from Git and Wiki (this was not demoed).
The video shows that it works for submitted files and hyperlink. The submission records are paginated too.
They did not do Google doc.
For git, they query the Git with api every 24 hours. If there is new commit, they will create new history record. -&gt; they should record ""# commits done in last 24 hours"".
They claimed that it will be inefficient to merge the submission log with paper trail log.
They also did a view of submission log for instructor, but it looks screwy.."
"Records timestamps whenever anything is submitted.
 Hyperlinks, files, reviews
Merging the project that moves hyperlinks to teams would cause conflicts with this project.
Handles Wikipedia, GIthub URLs.  [What about Google docs?  This was meant as a prototype.  And what's the granularity?  Each day.  And how long do you check for changes?  6 mos.]
This does not seem to be integrated with logging.  It should be.
  That is to allow you the ability to revert changes.
  It is separate from the PaperTrail scheme.  Would be too inefficient to merge it.
There are ""not too many tests,"" just 2 controller tests, 36 LoC.
They also record author feedback &amp; teammate reviews."
"For 'hyperlink_contributors' table, it is unnecessary. Because after one OSS project, it can be obtained from teams table.
And for 'submission_histories' table, we have to further decide whether we should put all submitted hyperlinks in one field or each hyperlink as one record  in order to record the submit/update time."</t>
  </si>
  <si>
    <t>Final Project, Fall2015_Team13</t>
  </si>
  <si>
    <t>They did not do Google doc.
They do the query to wiki and git periodically but do not record all the timestamps for each commit or each edit on wiki</t>
  </si>
  <si>
    <t>E1577</t>
  </si>
  <si>
    <t>UI changes for review and score reports</t>
  </si>
  <si>
    <t>rssmith8 yhuang34 jchen45 mjwitte</t>
  </si>
  <si>
    <t>"On the students end:
Beside ""your scores"" link they create another link called alternative view. This bring students another display of the peer-reviews they have received.
Each question is a row, each column is a review.
There are 26 questions but only 13 of them are scored question (criterion, radio, checkbox). So from line 14 to line 26 are all blank. This looks somehow confusing.
One more thing, the narrator said that ""0 and 1 is red, 2 is orange..."" is this hard-coded? The score ranges vary by rubrics. 
clicking a row will pop up more details about the feedback for this question.
There is a link: display questions. all the question will pop up if user click this link.
They also have similar table for meta-review, author feedback and teammate review.
On instructors end:
They claimed that this view also works for instructors, but the problem is that instructors need to click a link and one new display will pop-up."
They did a good job. And if they can add some info icons to let students know where can be clicked, it will be better. Some of their files' names can be more precise, such as "vm" and "view_review".
"UI changes for score reports
Video is not a screencast, but someone recording a video of a monitor with a ≈ phone .
""Alternate View"" should be ""Alternate view"".
They show the grid.  For some reason there are a lot of unused rows.
  The ones in gray are unscored questions.
Colors correspond to the score given in the review.
Clicking in any square in the row shows you all the comments for the row (the criterion).
You can expand the text of a review by clicking somewhere (I think in the top row), but not by hovering over criteria.
Color is bolder when there are ¿more than 10 words of? comments.
Not clear from the video if you can click on a criterion &amp; find all responses.
There are also matrices for author feedback, metareviews, &amp; teammate reviews.
You show the whole rubric by clicking on a link ""display questions"".
You can hover over parts of the display to be told how to use it, though.
Has been tested for rubrics that vary by rounds … this is complicated logic in Expertiza.
They wrote some tests (how many?)"</t>
  </si>
  <si>
    <t>Final Project, Fall2015_Team10</t>
  </si>
  <si>
    <t>It said that Expertiza was started by NSF; otherwise fine.</t>
  </si>
  <si>
    <t>E1576</t>
  </si>
  <si>
    <t>Refactoring submitted content (hyperlinks and files)</t>
  </si>
  <si>
    <t>ggpalank abasu2 nnagara2 rrpoduva</t>
  </si>
  <si>
    <t xml:space="preserve">http://wiki.expertiza.ncsu.edu/index.php/CSC/ECE_517_Fall_2015_E1576_Refactoring_submitted_content_(hyperlinks_and_files)
https://github.com/expertiza/expertiza/pull/629
https://youtu.be/VHVWF_UKgOc
</t>
  </si>
  <si>
    <t>"They DELETED the submitted hyperlinks and team_num field from participant table. 
They created submitted hyperlinks and team_num field in teams table.
Refactored the code accordingly.
"
"1. Database migrations
2. Refactor submitted_hyperlink related methods
3. Refactor directory_num related methods
4. Testing
"
"Refactor submitted hyperlinks &amp; files
Move them from participants to teams table
They show code changes.  (New code should be shorter than old, right?)  Yes.
And they wrote test cases (can you describe what they do in more detail?)
 Could add another test to make sure that hyperlinks don't go to same array if users aren't on the same team.
Did not do a db migration before deleting columns from the db.  But they will."</t>
  </si>
  <si>
    <t>Final Project, Fall2015_Team4</t>
  </si>
  <si>
    <t>They didn't fix the db like we told them to; otherwise they'd have gotten 95 or so.</t>
  </si>
  <si>
    <t>E1575</t>
  </si>
  <si>
    <t>Share the data in Expertiza to a remote server via PRML format</t>
  </si>
  <si>
    <t>jjose vsubbar mrohatg2 zganatr</t>
  </si>
  <si>
    <t xml:space="preserve">https://drive.google.com/folderview?id=0B5E9riqaJtdQMmFJUEM4R0VGbW8&amp;usp=sharing
https://www.youtube.com/watch?v=c93YQ34PYmY&amp;feature=youtu.be
http://wiki.expertiza.ncsu.edu/index.php/User:Mrohatg2#Running_the_Project
</t>
  </si>
  <si>
    <t>"They used pantaho to load 14 entities from Expertiza.
They only demoed loading assignment and course, which are 2 pretty easy part.
I will meet with Weijia and check what they have done on Dec. 16th morning.
====================Dec 16th=======================
Why do they do the ETL in a liner way?
Why do they use ""blocking steps""?
Why delete everything and load everything again? Could you do a update instead of insert if the record is there in the db?
The extraction of Rubric is not correct.
Entity ""enrollment"" ""criterion_level"" ""review"" ""artifact"" ""item"" ""review_criterion_level"" is missing. (They only did 10 entities, not 14 as they claimed in the video)
Their initial loading and full loading are the same."
"They used pantaho to load 14 entities from Expertiza.
They only demoed loading assignment and course, which are 2 pretty easy part.
I will meet with Weijia and check what they have done on Dec. 16th morning."
"This is the ETL project.
Pentaho has a “spoon” tool, shown on screen.
One mode is initial loading, then partial load, and full load
 Incremental catches changes, based on timestamp of db updates.
One mode is to delete everything from db &amp; load more.
She shows how tables are deleted and loaded.
Whenever there is a change, you just have to run this job.
But not a word is said about what’s in the tables, or how the xlation takes place.
Ferry: They dump several tables, but don't set up the relations betw. them.
"
"course, assignment, level, rubric, actor, participant.
"</t>
  </si>
  <si>
    <t>Final Project, Fall2015_Team7</t>
  </si>
  <si>
    <t>2015 Fall OSS</t>
  </si>
  <si>
    <t>E1574</t>
  </si>
  <si>
    <t>kbhanda2 bjhaver sgandhi4</t>
  </si>
  <si>
    <t xml:space="preserve">https://github.com/shrenujgandhi/expertiza
https://github.com/shrenujgandhi/expertiza/blob/master/Readme%20for%20Feature%20Testing%20of%20Assignment%20Submission.md
http://wiki.expertiza.ncsu.edu/index.php/CSC/ECE_517_Fall_2015/oss_E1574_BKS
https://github.com/expertiza/expertiza/pull/604
https://youtu.be/_58l0VPy04M
</t>
  </si>
  <si>
    <t>1) The setup for the test is not proper. They are using existing development database for test 
2) Travis is failing. 
3) PR is not in sync with master</t>
  </si>
  <si>
    <t>OSS project, Fall2015_Team14</t>
  </si>
  <si>
    <t>E1573</t>
  </si>
  <si>
    <t>pmukher amozumd sjolly</t>
  </si>
  <si>
    <t xml:space="preserve">http://wiki.expertiza.ncsu.edu/index.php/CSC/ECE_517_Fall_2015/oss_E1573_sap
https://github.com/expertiza/expertiza/pull/582
https://github.com/aninditamozumder/expertiza
https://drive.google.com/file/d/0B4s9cWAWOC29bmV6MDJWbHhUeHc/view?usp=sharing
</t>
  </si>
  <si>
    <t>1) Factories are written in an exclusive manner
2) But, test can be more eloborative to cover more use cases.</t>
  </si>
  <si>
    <t>OSS project, Fall2015_Team29</t>
  </si>
  <si>
    <t>E1572</t>
  </si>
  <si>
    <t>gmeneze aslingwa vpaul</t>
  </si>
  <si>
    <t xml:space="preserve">https://github.com/gmeneze/expertiza
https://www.youtube.com/watch?v=yC_heDL6GSw
http://wiki.expertiza.ncsu.edu/index.php/CSC/ECE_517_Fall_2015/ossE1572VGA
https://github.com/expertiza/expertiza/pull/608
</t>
  </si>
  <si>
    <t>1) Build is not passing on travis (but this is because they are using development db)
2) Extra files like sample feature file, cache, schema are commited.</t>
  </si>
  <si>
    <t>OSS project, Fall2015_Team42</t>
  </si>
  <si>
    <t>Organization is poor.</t>
  </si>
  <si>
    <t>E1571</t>
  </si>
  <si>
    <t>alakshm6 sbalasu7 ssharm21</t>
  </si>
  <si>
    <t xml:space="preserve">https://github.com/codemonkey19/expertiza
http://152.1.13.93:5000/
http://wiki.expertiza.ncsu.edu/index.php/CSC/ECE_517_Fall_2015/oss_E1571
https://drive.google.com/drive/u/2/folders/0B490tipwiqqMVnVjc0FjcDdIZ2c
https://github.com/expertiza/expertiza/pull/587
</t>
  </si>
  <si>
    <t>1) Refactored methods and cleaned up messy code.
2) Fixed code to incorporate rails syntax.
3) Minor issues found, you can find them on comment on Github.</t>
  </si>
  <si>
    <t>OSS project, Fall2015_Team28</t>
  </si>
  <si>
    <t>Very well written!  Only weakness is that it could have identified the changed code more explicitly.</t>
  </si>
  <si>
    <t>E1570</t>
  </si>
  <si>
    <t>abonam rnagaru vramach</t>
  </si>
  <si>
    <t>https://github.com/expertiza/expertiza/pull/592
http://152.1.13.114:3000
http://github.com/anushb/expertiza.git
http://wiki.expertiza.ncsu.edu/index.php/CSC/ECE_517_Fall_2015/oss_E1570_avr</t>
  </si>
  <si>
    <t>1) Hardwired record numbers, should be retrieved from DB.
2) New code is full of magic constants that are not even explained in comments.</t>
  </si>
  <si>
    <t>OSS project, Fall2015_Team43</t>
  </si>
  <si>
    <t>Good description of the changes that have been made; however, for the tests, the code is just given, without any description of why they test what they test.</t>
  </si>
  <si>
    <t>E1569</t>
  </si>
  <si>
    <t>nnagara2 rrpoduva jeclark4</t>
  </si>
  <si>
    <t>http://152.46.19.84:3000
https://github.com/expertiza/expertiza/pull/591
https://github.com/rrpod/expertiza
http://wiki.expertiza.ncsu.edu/index.php/CSC/ECE_517_Fall_2015/oss_E1569_JNR</t>
  </si>
  <si>
    <t>1) It doesn't appear that the group ran the code; add_user_to_assignment requires 4 parameters, but has only 1 passed.
2) The call of get_team_from_submission will not work, because your project moved the method to another class. 
3) automatic_review_mapping_strategy has been split into 2 methods. But this one of them is still long.
4) The refactoring of sql_like code was not tested. In fact very limited tests were written.</t>
  </si>
  <si>
    <t>OSS project, Fall2015_Team40</t>
  </si>
  <si>
    <t>Good job on writeup!</t>
  </si>
  <si>
    <t>E1568</t>
  </si>
  <si>
    <t>hxia3 bzhang24 jshen6</t>
  </si>
  <si>
    <t xml:space="preserve">http://wiki.expertiza.ncsu.edu/index.php/CSC/ECE_517_Fall_2015/ossE1568BZHXJS
http://52.10.11.33:3000/
https://github.com/junjieshen/expertiza
https://github.com/expertiza/expertiza/pull/584
</t>
  </si>
  <si>
    <t>1) Extra file schema is commited. And this file may cause a conflict. 
2) The refactoring is good.</t>
  </si>
  <si>
    <t>OSS project, Fall2015_Team15</t>
  </si>
  <si>
    <t>Too little explanation; code sequences too long (test sequence is much too long)</t>
  </si>
  <si>
    <t>E1567</t>
  </si>
  <si>
    <t>tchhabr psinaik amurark</t>
  </si>
  <si>
    <t xml:space="preserve">https://github.com/tarunchhabra26/expertiza
http://152.46.18.164:3000/
https://github.com/expertiza/expertiza/pull/609
http://wiki.expertiza.ncsu.edu/index.php/CSC/ECE_517_Fall_2015/oss_E1567_APT
</t>
  </si>
  <si>
    <t>1) Good job with the refactoring of the User files
2) Remove the version spcecification for the mysql2 in the 'Gemfile'
3) Removed the changes made to the line containing 'database.yml' in the file `vendor/plugins/rails_upgrade/lib/tasks/rails_upgrade_tasks.rake`
 since that change should not be merged</t>
  </si>
  <si>
    <t>OSS project, Fall2015_Team30</t>
  </si>
  <si>
    <t>Very nice writeup.  An intuitive description of the changes.  Good display of code.  Remember to skip a space before open paren (except in parameter lists).</t>
  </si>
  <si>
    <t>E1566</t>
  </si>
  <si>
    <t>agohil bradhak_hidden rosoni</t>
  </si>
  <si>
    <t>http://152.7.99.125:3000/
https://github.com/rupajsoni/expertiza
https://github.com/expertiza/expertiza/pull/599
http://wiki.expertiza.ncsu.edu/index.php/CSC/ECE_517_Fall_2015/oss_E1566_ARB</t>
  </si>
  <si>
    <t>1) Tests failed on Travis
2) Code seems to have broken the view_my_scores and 'view scores' functionality
3) Lots of code commented out but no reasons being specified</t>
  </si>
  <si>
    <t>OSS project, Fall2015_Team35</t>
  </si>
  <si>
    <t>Good description of the changes made, well laid out an readable.</t>
  </si>
  <si>
    <t>E1565</t>
  </si>
  <si>
    <t>jbollab athakur3 abasu2</t>
  </si>
  <si>
    <t>http://152.46.16.123:3000/
https://github.com/jaithrik/expertiza.git
https://github.com/expertiza/expertiza/pull/596
http://wiki.expertiza.ncsu.edu/index.php/CSC/ECE_517_Fall_2015/oss_E1565_AAJ</t>
  </si>
  <si>
    <t>Good work.</t>
  </si>
  <si>
    <t>OSS project, Fall2015_Team34</t>
  </si>
  <si>
    <t>"Very nice job of listing changes in an easy-to-read format.
Would be better to show before &amp; after code side by side.
There should be some comments about why the changes were made (maybe just copy them from the tables, above)."</t>
  </si>
  <si>
    <t>E1564</t>
  </si>
  <si>
    <t xml:space="preserve">https://github.com/expertiza/expertiza/pull/610
http://152.1.13.70:3000/
https://github.com/agarg9/expertiza
http://wikis.lib.ncsu.edu/index.php/User_talk:Svvuriti
</t>
  </si>
  <si>
    <t>E1563</t>
  </si>
  <si>
    <t>agarg9 apatel10 svvuriti</t>
  </si>
  <si>
    <t xml:space="preserve">https://github.com/shivamgulati1991/expertiza
http://152.46.20.199:3000/
https://github.com/expertiza/expertiza/pull/603
http://wiki.expertiza.ncsu.edu/index.php/CSC/ECE_517_Fall_2015/oss_E1562_APS
</t>
  </si>
  <si>
    <t>1) Changes made were modest compared to the requirements.  Only one file was refactord, and functionality that was supposed to be moved out of it was left in it.
2) Tests are needed, but were not written.
3) Methods that are related to quiz should have been moved the appropriate files (such as Quiz Controller or Quiz Model).
4) Should move the wiki from wiki.lib.ncsu.edu to wiki.expertiza.ncsu.edu
They made requested changes, so score is increased from 86 to 92.</t>
  </si>
  <si>
    <t>OSS project, Fall2015_Team23</t>
  </si>
  <si>
    <t>Writeup is fairly readable.  Has a nice table at the beginning.  Showed only "after" code; did not compare "before" with "after".</t>
  </si>
  <si>
    <t>E1562</t>
  </si>
  <si>
    <t>prdesai2 aagrawa7 sgulati2</t>
  </si>
  <si>
    <t xml:space="preserve">http://wiki.expertiza.ncsu.edu/index.php/CSC/ECE_517_Fall_2015/oss_E1561_WZL
https://github.com/ginlee/expertiza
http://152.1.13.227:3000/
https://github.com/expertiza/expertiza/pull/612
</t>
  </si>
  <si>
    <t>1) scores method has been split into smaller methods but it is still long and could have been refactored more.
2) Remove the tests as they are not related to the project and update the pull request.</t>
  </si>
  <si>
    <t>OSS project, Fall2015_Team38</t>
  </si>
  <si>
    <t>Writeup shows clearly the changes.  What is lacking is a prose description of the new, smaller methods, and how they accomplish the work of the old scores method.</t>
  </si>
  <si>
    <t>E1561</t>
  </si>
  <si>
    <t>mzhang18 zwu13 yli75</t>
  </si>
  <si>
    <t>http://152.46.20.1:3000/
https://github.com/viveksubbarao/expertiza
https://github.com/expertiza/expertiza/pull/607
http://wiki.expertiza.ncsu.edu/index.php/CSC/ECE_517_Fall_2015/oss_E1560_PSV</t>
  </si>
  <si>
    <t>1) set_flag is still not rails standard for setter method.
2) default_permission method has been refactored well.</t>
  </si>
  <si>
    <t>OSS project, Fall2015_Team18</t>
  </si>
  <si>
    <t>Some code sequences in writeup are a bit long.  But it does explain what has been done &amp; why.</t>
  </si>
  <si>
    <t>E1560</t>
  </si>
  <si>
    <t>vsubbar pdeka sjha3</t>
  </si>
  <si>
    <t>https://github.com/mandgerohit/expertiza
https://github.com/expertiza/expertiza/pull/589
http://152.46.17.13:3000/
https://www.youtube.com/watch?v=XOXLGF886Wc&amp;feature=youtu.be
http://wiki.expertiza.ncsu.edu/index.php/CSC/ECE_517_Fall_2015/oss_E1559_rrz</t>
  </si>
  <si>
    <t>1) Removed all the debugging items from code, such as puts, etc.
2) Modified code can contains more comments.
3) Fixed the redundant code
4) hosted Instance is not working</t>
  </si>
  <si>
    <t>OSS project, Fall2015_Team27</t>
  </si>
  <si>
    <t>Writeup does not clearly show changes.  In long code sequences, code removed, changed, or inserted could have been highlighted.</t>
  </si>
  <si>
    <t>E1559</t>
  </si>
  <si>
    <t>rshah5 rnmandge zganatr</t>
  </si>
  <si>
    <t>1) Extra decline.html.erb view 
2) Change @@messages from invitations_controller from class to instance variable
3) Private methods should be put below a "private" key words, instead of mention at the beginning of each function, like Java.
4) more comments given on pull request on Github</t>
  </si>
  <si>
    <t>OSS project, Fall2015_Team33</t>
  </si>
  <si>
    <t>As to what's been done, there are only tables and no explanatory text.</t>
  </si>
  <si>
    <t>E1558</t>
  </si>
  <si>
    <t>aankara cnbrown4 kmjos</t>
  </si>
  <si>
    <t xml:space="preserve">https://github.com/adeeshag/expertiza
http://152.46.16.195:5902/
http://wiki.expertiza.ncsu.edu/index.php/CSC/ECE_517_Fall_2015/ossE1558BGJ
https://github.com/expertiza/expertiza/pull/598
</t>
  </si>
  <si>
    <t xml:space="preserve">1) Method renamed to get_metareview_response_map should be rolled back.
2) Renaming variables to id or similar shorter names compared to their original names reduce code maintainability and readability.
</t>
  </si>
  <si>
    <t>OSS project, Fall2015_Team39</t>
  </si>
  <si>
    <t>Good job of explaining changes; however, there are clearer ways to show code changes (side by side, or with github's red &amp; green bkgrds. for code removed &amp; added).</t>
  </si>
  <si>
    <t>E1557</t>
  </si>
  <si>
    <t>meschwei garadhy xkong2</t>
  </si>
  <si>
    <t xml:space="preserve">https://docs.google.com/document/d/1E7T7inHWlXEaoEy4E8x7jERAWNSwO_Z0DOcdC8LJLQE/edit
https://github.com/MaxSchweizer/expertiza
http://wiki.expertiza.ncsu.edu/index.php/CSC/ECE_517_Fall_2015/oss_E1557_GXM
http://152.46.17.34:3000
https://github.com/expertiza/expertiza/pull/605
</t>
  </si>
  <si>
    <t>1) The refactoring and test are good.
2) Maybe avoid too many mocks in test.</t>
  </si>
  <si>
    <t>Wolfpack</t>
  </si>
  <si>
    <t>Good writeup as far as it goes, but it does not explain the tests in much detail.</t>
  </si>
  <si>
    <t>E1556</t>
  </si>
  <si>
    <t>hma5 jchen45 yhuang34</t>
  </si>
  <si>
    <t xml:space="preserve">https://github.com/drinkbeer/expertiza
https://github.com/expertiza/expertiza/pull/595
https://youtu.be/oeqAeV8vh6M
http://wiki.expertiza.ncsu.edu/index.php/CSC/ECE_517_Fall_2015/oss_E1556_CHM
</t>
  </si>
  <si>
    <t>1) Should use nested recsourse to be in accord with Rails 4 syntax
2) Extra file schema is commited. And this file may cause a conflict.
3) The tests are in good format, but using the development DB</t>
  </si>
  <si>
    <t>OSS project, Fall2015_Team19</t>
  </si>
  <si>
    <t>A bit long on the code snippets, but otherwise good. Clearly describes the motivations for the changes, and how changes were made.</t>
  </si>
  <si>
    <t>E1555</t>
  </si>
  <si>
    <t>ggpalank mjwitte rssmith8</t>
  </si>
  <si>
    <t>https://github.com/expertiza/expertiza/pull/585
https://github.com/guru1989/expertiza
http://152.46.19.44:3000/
https://www.youtube.com/watch?v=WW21k_3YMJw
http://wiki.expertiza.ncsu.edu/index.php/CSC/ECE_517_Fall_2015/oss_E1555_GMR</t>
  </si>
  <si>
    <t>The export format separates team members with commas.  It also uses a comma to separate the last team member from the course name.  The requirements specified a format that is consistent with the import file.</t>
  </si>
  <si>
    <t>OSS project, Fall2015_Team26</t>
  </si>
  <si>
    <t>If your charge was to create a two-page writeup, you did an excellent job.  Most of the reviewers asked for more detail, and we think that more detail should have been provided too.  Also, we suggest that the use of "Garbage" for team and course names conveys disdain for the project.</t>
  </si>
  <si>
    <t>E1554</t>
  </si>
  <si>
    <t>ahussai4 agarg10 rravill</t>
  </si>
  <si>
    <t>https://github.com/expertiza/expertiza/pull/613
https://github.com/roshini123/expertiza
http://152.46.18.173:3000
https://www.youtube.com/watch?v=rnRDC8pge7o&amp;feature=youtu.be
http://wiki.expertiza.ncsu.edu/index.php/CSC/ECE_517_Fall_2015/oss_E1554_AAR</t>
  </si>
  <si>
    <t>Well, from the video they did the thing we expect them to do, but their tests are failing, and they should have fixed them.</t>
  </si>
  <si>
    <t>OSS project, Fall2015_Team22</t>
  </si>
  <si>
    <t xml:space="preserve">The writeup is a bit short.  Some of the parts (e.g., on deleting a team) show the code that was changed, but do not explain how it was changed.  </t>
  </si>
  <si>
    <t>E1553</t>
  </si>
  <si>
    <t>asayal jjose apandey5</t>
  </si>
  <si>
    <t>http://wiki.expertiza.ncsu.edu/index.php/CSC/ECE_517_Fall_2015/oss_E1553_AAJ
https://github.com/WintersLt/expertiza
http://bit.ly/myexpertiza
https://github.com/expertiza/expertiza/pull/590
http://bit.ly/README_FOR_OSS</t>
  </si>
  <si>
    <t>It appears that add_id_filter_if_valid and add_user_filter_for_super_admin and add_event_filter are not used.
You have created SQL commands rather than using the Rails equivalents.  And it would be better to put them in the model, if possible.</t>
  </si>
  <si>
    <t>OSS OOD</t>
  </si>
  <si>
    <t>Good job of explaining changes!</t>
  </si>
  <si>
    <t>E1552</t>
  </si>
  <si>
    <t>rahuja nmshah5 fvravani</t>
  </si>
  <si>
    <t xml:space="preserve">http://wiki.expertiza.ncsu.edu/index.php/CSC/ECE_517_Fall_2015/oss_E1552_NFR
http://152.46.20.183:3000/
https://github.com/expertiza/expertiza/pull/602
https://github.com/rahuja910/expertiza
</t>
  </si>
  <si>
    <t>You did a good job of removing unused code, but the directions at the top said "it is highly recommended to write test cases for the controllers."  You could have done this for the code that remained.</t>
  </si>
  <si>
    <t>OSS project, Fall2015_Team32</t>
  </si>
  <si>
    <t>Your writeup mentions changes to self.find_submissions_in_current_cycle.  As far as we can tell, this method was removed from the code.</t>
  </si>
  <si>
    <t>E1551</t>
  </si>
  <si>
    <t>vravi2 pgomata lsanche</t>
  </si>
  <si>
    <t xml:space="preserve">http://wiki.expertiza.ncsu.edu/index.php/CSC/ECE_517_Fall_2015/oss_E1551_RGS#Tests
http://152.46.17.242:3000/
https://github.com/viswaraavi/expertiza/tree/refactorresposnecontroller
https://github.com/expertiza/expertiza/pull/600
</t>
  </si>
  <si>
    <t>set_all_responses method is only 2 lines &amp; is only called twice.  Also, the name is not very revealing.  We don't think this method should have been factored out.
rereview method has been removed (good), but the header comment for it should also be removed.
return unless action_allowed?  is done implicitly by the pre-filter, and doesn't need to be coded in (apologies for asking you to)
In create_answers, the variable name "score" should also be changed to "answer"</t>
  </si>
  <si>
    <t>OSS project, Fall2015_Team20</t>
  </si>
  <si>
    <t>The level of coverage of your changes seems to be a little inconsistent; some bigger changes are not described in as much detail as small changes (e.g., rename get_scores).</t>
  </si>
  <si>
    <t>E1550</t>
  </si>
  <si>
    <t>kagarwa mrohatg2 mwghobri</t>
  </si>
  <si>
    <t>https://github.com/MatrikaRohatgi/expertiza
http://152.1.13.224:3000/
https://github.com/expertiza/expertiza/pull/601
http://wiki.expertiza.ncsu.edu/index.php/CSC/ECE_517_Fall_2015/oss_E1550_KMM</t>
  </si>
  <si>
    <t>1) Polymorphism is not used for sending e-mail.  Moreover, the method names (email1, email2, etc.) are not indicative of the functionality.
2) Except for removing unused methods, the above is the only functionality that has been changed.</t>
  </si>
  <si>
    <t>OSS project, Fall2015_Team12</t>
  </si>
  <si>
    <t>The changes have not really been explained.  Rather, code snippets have been concatenated together (except in the description of grade weighting).</t>
  </si>
  <si>
    <t>2015 Spring Final</t>
  </si>
  <si>
    <t>E1531</t>
  </si>
  <si>
    <t xml:space="preserve">No choosers. </t>
  </si>
  <si>
    <t>E1530</t>
  </si>
  <si>
    <t>E1529</t>
  </si>
  <si>
    <t>yshang3 kgong mdong3 jli53</t>
  </si>
  <si>
    <t>http://wiki.expertiza.ncsu.edu/index.php/CSC/ECE_517_Spring_2015_E1529_GLDS
https://www.youtube.com/watch?v=d96A_9j2rng
https://github.com/KeleiAzz/expertiza/tree/E1529</t>
  </si>
  <si>
    <t>"The project was on Scheduled tasks. They demoed the UI to see the existing scheduled tasks. They showed the logs views to see which tasks have been created. Instructors can now drop the outstanding deadlines etc. They looked to have implemented all the logic.
Code Comments:
1) In delete_scheduled_task , do you need to  ""@assignment = Assignment.find(params[:id])""
2) Rename file extension app/views/assignments/scheduled_tasks.erb to "".html.erb""
3) Move migrations to seeds.rb"
"Shows a list of all scheduled tasks for a particular assgt. (how about for all assgts.?)  No, their UI is just for 1 assgt.
Explain ""delete a task.""  These are tasks like sending reminders and dropping topics of one-member teams, &amp; dropping outstanding reviews (ones that are selected but not submited).
  Deletion events should be logged (I don't think they are).
These tasks show up in the log (but you have to go to the end of the log, &amp; it doesn't say anything about them, just that they are ScheduledTasks.
(Is there any way to find out what kind of scheduled tasks they are?)
  Clicking on the task # causes an error, but you can se the details by going to Manage &gt; Assignments, &amp; then clicking on the scheduled task list (View delayed jobs)
Added a new task, Drop outstanding reviews (what does this do?)
  Drop reviews that have been selected but not submitted.
Why do you always check ""Apply penalty policy?""  In the Rails code, if it doesn't have a penalty policy, it won't add the delayed job.
They show the team-formation deadline e-mail arriving (is the mail sent at or before the deadline?)  In advance, 8 hrs. or 24 hrs. (the usual dropdown)
""Drop one-member"" should really be drop teams of less than k members ... did we discuss this? (Yes.)
It's not real clear what's going on in the video, because there weren't clear intros of new points.
They finish up by running tests (good), but it's not clear how the tests test what they test.  
  1st is scheduled task test, written according to the existing mailer test.  Copied test to Scheduled Task module.
  Tests whether length of delayed-jobs queue increases.
Why is team-formation reminder sent to students who have already formed teams?  Only sent to people who haven't formed teams; the e-mail could be changed so that it didn't have that proviso.
This looks like a very effective example of teamwork, given the # of questions that everyone answered (Yue answered less than the other 3, though).
.erb files need to be .html.erb.
Also, they created unnecessary migrations (migrations for actions that didnt change table structure)."
"Able to delete scheduled tasks
Create schedule tasks for an assignment
Time when the reminders should be sent is editable
Multiple tests included
"</t>
  </si>
  <si>
    <t xml:space="preserve">Final projects_Team8 </t>
  </si>
  <si>
    <t>Very good documentation of what's wrong in the way that time is being handled (though this is not the major point of the project). One of the main points of this project is to set up tests so the instructor knows e-mail is being sent.  This is not covered in the doc.</t>
  </si>
  <si>
    <t>E1528</t>
  </si>
  <si>
    <t>E1527</t>
  </si>
  <si>
    <t>rkyadav wli29 abhanda3 sramase</t>
  </si>
  <si>
    <t>http://wiki.expertiza.ncsu.edu/index.php/CSC/ECE_517_Spring_2015_E1527_SWAR
https://www.youtube.com/watch?v=W0fDzksb2-o
https://github.com/lramach/autometareviews0.1/pull/1</t>
  </si>
  <si>
    <t>"Convert a Gem for meta review into web service. 
Add refactoring to this new webservice
"
"Convert gem to JSON-based Web service.
Content Summative and Content Advisory are evidently word counts.
All gems were using Java 1.6, but are now migrated to Java 1.8.
Takes from 30 s. to 1 min. to generate metarview.
They created 160 new files (web service didn't exist before).
They did break up some methods into shorter methods, but we were not able to see this during the demo (I think they messed up the showing).
Design document has not been updated since the project was done.
Was tested using a Java client.  Is not interfaced to Expertiza yet.
So I am not very sure about my # on elegance of design.
(Seems like Ravi is doing everything ...)"
"The demo was on automated meta review system. Automated meta review was deployed as a web service can be used by any peer review systems. 
Comments:
1)A read me file explaining on what project does could be added.
2) Unit tests are missing.
"</t>
  </si>
  <si>
    <t xml:space="preserve">Final projects_Team2 </t>
  </si>
  <si>
    <t>Very clear (and correct!) description of what needs to be done. All tasks that will be done are well described. Rather abrupt beginning, fails to show where the project fits in the context of Expertiza and other PR systems.</t>
  </si>
  <si>
    <t>E1526</t>
  </si>
  <si>
    <t>pdeng ikopas mrsingh rlcoble</t>
  </si>
  <si>
    <t>http://wiki.expertiza.ncsu.edu/index.php/CSC/ECE_517_Spring_2015_E1526_MPRI
https://github.com/CSC517-FInalProject/expertiza/tree/E1526
https://docs.google.com/document/d/1FBLigKBTxLISXHAu6o4XS7f7P5hEtHGcSG8VYEdcQgE/edit
https://youtu.be/qsHYE9Rgx80
http://wiki.expertiza.ncsu.edu/index.php/CSC/ECE_517_Spring_2015_E1526</t>
  </si>
  <si>
    <t>They demoed the new UI for three pages
"Responsive web design
Good overview of what they are going to do.
Instead of having Rails fetch all data &amp; then render everything, they render the table headings, etc., before fetching data.
We load light items, then use AngularJS to fetch the later items.
They do login page, tree-display page, &amp; users page.
Simultaneous demos show the difference in speed.
One problem: There's too much space betw. lines in their new display, meaning that only ~ 4 courses instead of 6 fit in a window.
  Manish &amp; Pei say they can fix it.
They can now sort columns correctly; this is good.
  Sorting is happening on client side.
Then they show editing users.
Plus, navigation bar disappears from the ribbon at the top if you narrow the window; it becomes a pulldown.
The question is, How hard would it be to do other pages in the same format?  Manish: We have captured the low-level details in the design doc.  Ryan: Major issue was which browser controller system we use, angular or Rails.  If we'd chosen angular, we'd have had to redo all the controllers.
Documentation needs to be updated; they say they will do it.
As to testing, these are all UI changes, so it's hard to see how to test them."
"The UI &amp; Performance improvements look good.
The new UI is completely separate from the old UI. An example that shows the connection between the old UI and the new would be great."
Convert to Responsive Web design</t>
  </si>
  <si>
    <t xml:space="preserve">Final projects_Team3 </t>
  </si>
  <si>
    <t>Very good description of the patterns to be used. Did a good job of limiting scope of the project. Still shows the Virgin America web page; a mockup of what they are going to do would be better.</t>
  </si>
  <si>
    <t>E1525</t>
  </si>
  <si>
    <t>vareti akottal sniu sbhawsi</t>
  </si>
  <si>
    <t xml:space="preserve">http://wiki.expertiza.ncsu.edu/index.php/CSC/ECE_517_Spring_2015_E1525_TIAA
</t>
  </si>
  <si>
    <t>"The features demoed were 360 degree assessment and Meta review page.
Looks like features are working fine from the demo apart from the range issue professor pointed out.
Code Review comments:
1)In assessment360_controller.rb : Good  job on splitting one_course_all_assignments method into sub methods like reviews_progress_by_completion etc but you can move them to model or other helper files
2)In student_task_controller.rb , remove ""get"" in method names
3)In assignment.rb, remove ""get"" in method name
4)In  config/routes.rb , why did you remove some paths  "
"The 360-degree &amp; binoculars (reviews for a term) icons didn't work before; they fixed these.
But instead of emptying the Teammate Reviews column, why not surpress it?
I don't understand the part where the range shows up but not the average.  Neither do they. [They have fixed this.]
It's not clear why the Review Progress to Date is not shown in the video (but it does show up on the wiki page).  They moved code from views to the controller.  But some of it would be better to move into the model (Nikhil C.)
Timeline bar shows students who have teamed with you (actually, it only shows 1 student; can you show a more serious test? -- see the wiki)
Teaming code was put into students_task, which is now 300 lines (I think this is the wrong file to include it in).
Writeup has basically added screenshots w/a 2-line description of what the screenshot shows.
(They spend a lot of time trying to ""bring up the page."")
They wrote one test, student_task_test. It checks the # of partners a student has.  But it only tests the case where the student has teamed with 0 other students."
"Fixed the icons on the Assignment row
Analytics for Review and MetaReview: This needs more work. The graph for scores seems irrelevant. I dont think we need this graph
Team members for particular course: This seems "
"360 degree view working properly
Review &amp; Meta Review report - working properly
Teammate reviews average not shown properly
Good refactoring of existing code. But, a new method that they created is very large.
Code logic was included in the controller rather than in the model."</t>
  </si>
  <si>
    <t xml:space="preserve">Final projects_Team12 </t>
  </si>
  <si>
    <t>Good listing of use cases. Specs say that the # of teammates in the entire course should be shown.  Design doc says only the # of teammates in an assignment will be displayed. We changed the conditions under which teammates will see reviews.  This will be controlled by a checkbox on the General tab of assignment creation, not based on the number of teammates k.  This change is not reflected in the doc.</t>
  </si>
  <si>
    <t>E1524</t>
  </si>
  <si>
    <t>zhu6 szhang29 zxie4 fwu8</t>
  </si>
  <si>
    <t xml:space="preserve">http://wiki.expertiza.ncsu.edu/index.php/CSC/ECE_517_Spring_2015_S1524_FSZZ
https://github.com/expertiza/expertiza/pull/541
https://github.com/Staggered-Deadline-Final-NCSU/expertiza
http://152.46.16.228:3000/
https://www.youtube.com/watch?v=1LBPbCMSk8w
</t>
  </si>
  <si>
    <t>"""Video is 12 min. long!
Added a note that students have to choose a topic.  This appears when topic is added.
Then he shows the due dates; they are all the same at this point.
Then he saves dependencies.
User-IDs that sign up seem not to be the same ones that were added as participants! (oh, only the topics are named after user-IDs.)
But then they show up later by their first names.
They then run various tests (which went by pretty quickly).""
Moved model-type code to model, but didn't break up long methods.
Uses find_by_name, which won't work in Rails 4.2.
Zhewei did almost all of the talking"
"Staggered ddl: instructor can specify different ddls for different topics.
instructor can specify the dependency for topics.
The circles of topic dependencies can be detected.
Based on students deadline, the students may or may not be able to do peer-review.
The coverage increases! =)
Zhewei did most work, I would suggest we give him bonus points.
"
"Demo: different deadlines for different topics. 
edit deadline tab should be next to the user. Not a good user friendly design. 
Test doesn't cover all possible situations. Eg: 1 project is in resubmission phase while other is in review. "</t>
  </si>
  <si>
    <t xml:space="preserve">FANTASTIC FOUR_Final projects </t>
  </si>
  <si>
    <t xml:space="preserve">They have a good collection of screenshots from the affected portions of Expertiza.  It shows that they have the old code mostly working. Explained the user flow in good detail. The description of staggered deadlines is wrong in the intro, though it has been corrected later in the doc. They mention calibration, but that's not part of their project. The design doc does not seem to be properly organized.
</t>
  </si>
  <si>
    <t>E1523</t>
  </si>
  <si>
    <t>E1522</t>
  </si>
  <si>
    <t>marufino njiang4 zchen15 yjmehta</t>
  </si>
  <si>
    <t xml:space="preserve">http://wiki.expertiza.ncsu.edu/index.php/CSC/ECE_517_Spring_2015_E1522_Visualization
https://github.com/expertiza/expertiza/pull/548/
https://www.youtube.com/watch?v=26jVUAyF6TA
</t>
  </si>
  <si>
    <t>"Nice feature:  reliability metric. 
Summary report is good and needed for Expertiza."
"They tried various ways of displaying data.
Ultimately used gchardtb
Have added graphics to student score view, for each kind of review.
Also show bars to indicate whether reviewers agree on the scores.
Instructor can also see histogram of scores of students.  No, it's not a histogram, just bars for the score of each team.
  Bars compress if there are more teams.
Then he goes into the code, not completely legibly.
Visualization is in a new partial.
Wrote rspec tests for instructor &amp; student view.
Metric for bad agreement is SD &gt; 20 (why not just show a single bar of how great agreement is?)
[Yatish answered most qq., then Miguel.]"
"They have fixed ""view"" my scores.
The variance of peer-review scores is also visualized.
"
"Includes tests
"</t>
  </si>
  <si>
    <t xml:space="preserve">Final projects_Team16 </t>
  </si>
  <si>
    <t>Obvious that you invested some effort in thinking about how data was to be presented. Good visual design, and good mockups of the changes to be made. It's not clear what the three horizontal bars represent, nor is it clear how you are going to calculate reliability.</t>
  </si>
  <si>
    <t>E1521</t>
  </si>
  <si>
    <t xml:space="preserve">Final projects_Team5 </t>
  </si>
  <si>
    <t>E1520</t>
  </si>
  <si>
    <t>2015 Spring OSS</t>
  </si>
  <si>
    <t>E1512</t>
  </si>
  <si>
    <t>E1511</t>
  </si>
  <si>
    <t>tjarmst3 knjhaver</t>
  </si>
  <si>
    <t xml:space="preserve">OSS project_Team24 </t>
  </si>
  <si>
    <t>E1510</t>
  </si>
  <si>
    <t>fwu8 sniu zchen15</t>
  </si>
  <si>
    <t>http://wiki.expertiza.ncsu.edu/index.php/CSC/ECE_517_Spring_2015/oss_E1510_FLP
https://github.com/fwu8/expertiza
http://152.46.16.86:3000
https://github.com/alannsp/expertiza
https://github.com/fwu8/expertiza-1
http://152.46.20.174:3000/</t>
  </si>
  <si>
    <t xml:space="preserve">OSS project_Team40 </t>
  </si>
  <si>
    <t>Describes the changes made very well.
The prose is quite readable.  Code has been added to explain what was not elaborated in the ticket.  However, to be helpful for people doing followup projects, the writeup should've explained hurdles that were encountered and how they might be able to be overcome.  There should be a summary at the end of the report.</t>
  </si>
  <si>
    <t>E1509</t>
  </si>
  <si>
    <t>mdong3 yshang3 jli53</t>
  </si>
  <si>
    <t>https://github.com/jli53/expertiza
http://wiki.expertiza.ncsu.edu/index.php/CSC/ECE_517_Spring_2015/oss_E1509_lds
http://52.11.128.244:3000/</t>
  </si>
  <si>
    <t xml:space="preserve">OSS project_Team35 </t>
  </si>
  <si>
    <t xml:space="preserve">Very good writeup.  One other wiki used a side-by-side display of changes that I thought made it easier to see what had been changed.  Other than that, yours is tops.
</t>
  </si>
  <si>
    <t>E1508</t>
  </si>
  <si>
    <t>rlcoble sramase marufino</t>
  </si>
  <si>
    <t xml:space="preserve">https://github.com/rlcoble/expertiza
http://wiki.expertiza.ncsu.edu/index.php/CSC/ECE_517_Fall_2014/oss_E1508_MRS
</t>
  </si>
  <si>
    <t xml:space="preserve">OSS project_Team34 </t>
  </si>
  <si>
    <t xml:space="preserve">Very well organized, explains changes well.
</t>
  </si>
  <si>
    <t>E1507</t>
  </si>
  <si>
    <t>pdeng kgong</t>
  </si>
  <si>
    <t>https://github.com/KeleiAzz/expertiza/tree/refactoring-review-files-3
https://youtu.be/HgmUJqDzhGc
http://ec2-52-10-80-197.us-west-2.compute.amazonaws.com:3000
http://wiki.expertiza.ncsu.edu/index.php/CSC/ECE_517_Spring_2015/oss_E1507_DG</t>
  </si>
  <si>
    <t xml:space="preserve">OSS project_Team19 </t>
  </si>
  <si>
    <t>Writeup is too hard to follow.  It starts off with a bug description and does not say what role this played in the project.  In general, there is a lot of code and screenshots, but little prose tying them together.</t>
  </si>
  <si>
    <t>E1506</t>
  </si>
  <si>
    <t>zhu6 szhang29 ylu31</t>
  </si>
  <si>
    <t>https://github.com/CSC517-Proj2-E1506/expertiza
https://github.com/expertiza/expertiza/pull/505
http://wiki.expertiza.ncsu.edu/index.php/CSC/ECE_517_Spring_2015/oss_E1506_SYZ
https://www.youtube.com/watch?v=uY6OriHdxRA
http://ec2-52-10-116-206.us-west-2.compute.amazonaws.com:3000</t>
  </si>
  <si>
    <t xml:space="preserve">OSS PentaCode </t>
  </si>
  <si>
    <t>Generally good, but certain sections, e.g., Implementation, need more prose to be easily understood.
Writeup has an overall description of the project, but not what was done by this team.  They have showed code, but haven't said how it related to the changes they made.  Nor do we have a prose description of what they did.
This is a good description of some of the changes that the team made.  The initial description of Sahana could be shortened, given that anyone who was going to extend this project would already be familiar with Sahana.  The ending is very abrupt, without any indication of how they had improved functionality, or how their changes could be built upon.</t>
  </si>
  <si>
    <t>E1505</t>
  </si>
  <si>
    <t>szhao8 jlu21 zxie4</t>
  </si>
  <si>
    <t xml:space="preserve">http://wiki.expertiza.ncsu.edu/index.php/CSC/ECE_517_Spring_2015/oss_E1505_xzl
http://152.46.18.241:3000/
https://github.com/z-Xie/expertiza
</t>
  </si>
  <si>
    <t xml:space="preserve">OSS project_Team42 </t>
  </si>
  <si>
    <t>Well written, but does not mention design patterns or principles
Gemfiles should be downgraded. Schema changes should be shown as migrations and not direct changes in schema file.</t>
  </si>
  <si>
    <t>E1504</t>
  </si>
  <si>
    <t>vkalapa ikopas mrsingh</t>
  </si>
  <si>
    <t>http://52.11.88.182:3000/
https://drive.google.com/a/ncsu.edu/file/d/0B49VkAq-KMtebXBILUlTQktBVnM/view?usp=sharing
https://github.com/manish211/expertiza.git
http://wiki.expertiza.ncsu.edu/index.php/CSC/ECE_517_Spring_2015/oss_E1504_IMV</t>
  </si>
  <si>
    <t xml:space="preserve">OSS project_Team20 </t>
  </si>
  <si>
    <t>Well written, but does not mention design patterns or principles
The prose does explain what was done, which was good.  It covers the basics, and then launches into their changes.  However, it does not talk about the difficulties they faced and how they tried to overcome them.  Such a description would be very helpful to those who come after them.</t>
  </si>
  <si>
    <t>E1503</t>
  </si>
  <si>
    <t>akottal rkyadav vareti</t>
  </si>
  <si>
    <t>The wiki is good and indicates that they did decent work.
Generally, pretty clear and organized.  But a total lack of prose ... all that is there is the code and the outline.</t>
  </si>
  <si>
    <t xml:space="preserve">OSS project_Team7 </t>
  </si>
  <si>
    <t>The wiki is good and indicates that they did decent work.</t>
  </si>
  <si>
    <t>E1502</t>
  </si>
  <si>
    <t>hwang40 njiang4 ywang95</t>
  </si>
  <si>
    <t xml:space="preserve">http://wiki.expertiza.ncsu.edu/index.php/CSC/ECE_517_Spring_2015/oss_E1502_wwj
https://github.com/NorthCarolinaWolf/expertiza
http://152.46.17.102:3000/
</t>
  </si>
  <si>
    <t xml:space="preserve">OSS project_Team30 </t>
  </si>
  <si>
    <t>They did not say too much in their wiki
Wiki has little prose in it.  It is generally clear, but does not explain why changes were made.</t>
  </si>
  <si>
    <t>E1501</t>
  </si>
  <si>
    <t>yjmehta sbhawsi wli29</t>
  </si>
  <si>
    <t xml:space="preserve">https://github.com/expertiza/expertiza/pull/510
http://wiki.expertiza.ncsu.edu/index.php/CSC/ECE_517_Spring_2015/oss_E1501_YWS
</t>
  </si>
  <si>
    <t xml:space="preserve">OSS project_Team31 </t>
  </si>
  <si>
    <t xml:space="preserve">The introduction is not very useful, but after that, it seems to be a good description of changes made.  Writeup is rather short, though.
</t>
  </si>
  <si>
    <t>2014 Fall Final</t>
  </si>
  <si>
    <t>E1483</t>
  </si>
  <si>
    <t>mliu9 xshao2 clin12</t>
  </si>
  <si>
    <t xml:space="preserve">https://www.youtube.com/watch?v=OTgV5shA7Wo&amp;feature=youtu.be
https://docs.google.com/a/ncsu.edu/document/d/1aypHb5UOe-3nPfruNeh2HZjeT-wfv6f-ZsZg2jDMNkQ/edit?usp=sharing
</t>
  </si>
  <si>
    <t>"Merge some OSS projects
Google charts project
E1455 - Actions on a topic sheet for editing/deleting topics
Refactoring SignUpSheetController - did not merge
ActionMailer refactoring - need to move mail logic into separate mailer files instead of residing in the controllers (it's alright for now, but we could improve it in the future)
E1457 - ReportsController"
"- Merged 5 OSS projects, Fall 2014
- E1457, E1460, E1455, E1451, E1453. All these merges were successful.
- Did not merge E1459 because it breaks all other merges
- ChartsHelper required to refresh each time a new chart had to be loaded"</t>
  </si>
  <si>
    <t xml:space="preserve">Design doc and final project_Team34 </t>
  </si>
  <si>
    <t>Doc tells what order merges are best done in, but doesn't say why.  That would have been one of the most interesting items in this design doc.</t>
  </si>
  <si>
    <t>E1482</t>
  </si>
  <si>
    <t>sabdul ynallab msammet nchinth</t>
  </si>
  <si>
    <t>https://docs.google.com/document/d/1ZYcbTkREHp68F6BjmZOIY0LDW7Vecp4JsqYAqNgimXA/edit
https://github.com/expertiza/expertiza/pull/457
https://www.youtube.com/watch?v=0_wqaIs9D0w&amp;feature=youtu.be</t>
  </si>
  <si>
    <t>Assignment#edit still works as before
"- Added form object
- Testing done
- AssignmentsController still works as intended after adding form objects
- Maybe the form objects requires refactoring now.
"
"The need to merge E1453, and refactor assignments_controller using a forms object.
They spend about half the demo explaining the need for a form object, &amp; then show some of their design doc.
And then they go through their code changes.  They also removed inline JS, &amp; wrote a data-migration script.  But the demo does not show the running system! (during demo I think it did).
Did manual testing
Andrew: a lot of bad code was just moved into form object, which now needs to be refactored.
Code does not really follow Ruby coding conventions.
Document does not explain changes made to system.  It just says what CAN be done.
Topics do work on an assignments tab, though this was not shown in demo.  Duplicate code is avoided by moving code to the SignupSheetController.
4 tests, but they test every method on every object.  Should only check 1 test at a x.  They are testing things at too low a level, will break w/refactoring, etc.
I still don't see how the form object breaks up an Assignment object.  They said they'd revise design doc to indicate this. [Note]"</t>
  </si>
  <si>
    <t xml:space="preserve">Design doc and final project_Team14 </t>
  </si>
  <si>
    <t>The design appears sound.  The implementation strategy is fine as far as it goes, but more detail would have been helpful.  They also failed to describe the Form Object pattern, which is the basis for the project.</t>
  </si>
  <si>
    <t>E1481</t>
  </si>
  <si>
    <t>https://docs.google.com/a/ncsu.edu/document/d/1IhXe8MWOiNSio-qF32dKLAWPL4GVbqhEzsJxRcuyiW8/edit?usp=sharing
https://github.com/goldsy/expertiza
https://github.com/goldsy/expertiza/blob/rails4/README_E1480
https://www.youtube.com/watch?v=RkZEU-aIn0g&amp;feature=youtu.be</t>
  </si>
  <si>
    <t>E1480</t>
  </si>
  <si>
    <t>ssangane jmgoldsw jmkubasc ksantha2</t>
  </si>
  <si>
    <t>https://docs.google.com/document/d/1lsPzmh_I8QJ3Re0NKUSmr50wU0FQN91YEjg8-AwHj8c/edit?usp=sharing
https://drive.google.com/file/d/0B1Q48anUMKznOFcxb2oxbGdNX0E/view?usp=sharing
https://drive.google.com/file/d/0Bzq_PVSAcDxNc05jeXZxMk0tSnc/view?usp=sharing</t>
  </si>
  <si>
    <t>Writing test from students view. 
Write integration tests: looks very good! Uncomment commented-out code.
"Added most tests with Student in the name, except for StudentTask.
Andrew had them run ""bundle exec rake"" to run the tests (that's what Travis runs).  The tests run successfully.
  But it doesn't give a coverage report.
Used FactoryGirl to populate some of the objects.
There should be audio on the video (the live demo was much clearer than watching the video)."</t>
  </si>
  <si>
    <t xml:space="preserve">Design doc and final project_Team15 </t>
  </si>
  <si>
    <t>The tests are described quite well.  I do not agree with reviewers that design patterns or principles or class diagrams are needed for this project</t>
  </si>
  <si>
    <t>E1479</t>
  </si>
  <si>
    <t>nurahman rrmercer cehaith2 knschne2</t>
  </si>
  <si>
    <t xml:space="preserve">https://docs.google.com/a/ncsu.edu/document/d/1znTQS-YaeMrw090xiFMgAI3g1Xzz9D3Dx326rwX712s/edit?usp=sharing
https://github.com/expertiza/expertiza/pull/462
https://drive.google.com/a/ncsu.edu/file/d/0B0bh9OuXr7cvR1dudkNEeTI5SWc/view?usp=sharing
</t>
  </si>
  <si>
    <t>"#426 students can delete the links now.
#421 we can see the advertisement icon if one of the team who hold the same topic is advertising for new members.
#420 instructor can assign assignments to courses now.
#428 Andrew fixed that
#423 TA can create or copy assignments now.
#453 They did not see this bug.
#392 Reviewers cannot delete hyperlinks anymore."
"Fixed 7 bugs.
#426, can't delete links
  Basic reason was duplication a .yml text clause.  Link was duplicated for each member of the team.  The fix returns a unique link, which I think makes it associated w/only 1 of the participants. [We should revisit this to make links associated with a team &amp; not a participant.]
#421, ads don't show up if there are 2 slots &amp; one team posts an ad.  The ad was associated with a team, not with a topic.  [We should look at the diff in the repo when grading this, because we are not going to have time to go thru the code, at this rate.]
#420, Instructor can't assign an assgt. to a course.  Andrew put in a fix for part of it, but if you created an assgt. on the Manage screen, it creates an assgt. that is not assigned to a course.  If you went to assign it to a course, you couldn't.  The reason was because the assgt. had a course value of 0, not nil.
Another issue: If you tried to remove a course from an assgt., you couldn't.  That is fixed.
#423 (#428 was fixed by Andrew in the interim): TA can't create or copy an assgt.  It had to be directed to an assgt. method.
TA couldn't copy an assgt. because it couldn't find course_id, &amp; this was fixed by having a special case for a TA.
The assignment-copying bugs: it was CLONING the old assignment rather than DUPing it.  ***This needs to be done for Courses too ***
#453: Student can't change a team name.  This is fixed.
#392: Need to be able to delete your own hyperlinks.  But you shouldn't see the delete button if you're not the owner.  He does it by checking the owner against the logged-in user.  So it's on a user-by-user basis."
"- Worked on 7 bugs
- Fixed bugs #426, #421, #420, #428 (fixed by Andrew), #423, #453, #392
- Mentioned reasons for the causes for bugs"</t>
  </si>
  <si>
    <t xml:space="preserve">Design doc and final project_Team48 </t>
  </si>
  <si>
    <t>Shows good consideration of the issues.  A little weak on design principles/patterns, though</t>
  </si>
  <si>
    <t>E1478</t>
  </si>
  <si>
    <t>sjames3</t>
  </si>
  <si>
    <t>https://docs.google.com/document/d/1bJIchO05sxd5Q5cVO8ufkdimyr6N1VCwQIe3dy48Bfg/edit?usp=sharing
https://www.youtube.com/watch?v=b9Vci6DeHgc&amp;feature=em-share_video_user
https://docs.google.com/a/ncsu.edu/document/d/129C__5lQHrtMjfzshLR0zG4TXa7k6duSv7lW8eXM3pg/edit
https://github.com/sarveshr7/expertiza</t>
  </si>
  <si>
    <t>"A more readable version of paper trail record list.
There are many ""nodes"" in the paper trail record, which is hard to understand, also made this output on webpage not so readable. 
What we see are the ids (such as user ids), so the information displayed is not really helpful enough."
"- versions of changes made to the system.
- added show and search for versions
- presentable version of the paper trial
- Not sure what node is in the type
- No RSpec testing"
"Paper trail creates a versions table.  For each create, update, or destroy, it logs them.
Super-admins have access to all the data.
Need a human-readable interface to view the data.
Changes were to controllers/versions_controller primarily.
@version.whodunnit changed to @version.version_author
We are looking at a list of changes that happened over time.
But almost all of the entries are called ""Node"" ... what are these?
  He doesn't know.
There are also actions for AssignmentQuestionnaires and Users, though
Added a show method to versions_controller.rb
You can narrow search to events by a particular user.
It lets you see events that use PaperTrail for a particular user, e.g.
  But you can add PaperTrail by just adding ""has PaperTrail"" to the class definition.
Did not write rspec tests."
Searchable list of changes to the system. The search/filter functionality seems straightforward. The implementation is clean.</t>
  </si>
  <si>
    <t xml:space="preserve">Design doc and final project_Team1 </t>
  </si>
  <si>
    <t>The doc should show some of the log events, and how these are going to be displayed.  I really think that an instructor needs access to the logs for his/her assignments and students ... not jut admin and super-admin.  This is because if a student claims to have done something, there needs to be a way to verify it.  Also, this is not mentioned in the writeup, but admins should have access only to logs of their artifacts (courses, assignments, questionnaires) and those of their instructors.  Only the super-admin should have access to all.  Design doc does not mention principles or patterns, unfortunately.</t>
  </si>
  <si>
    <t>E1477</t>
  </si>
  <si>
    <t>apatwar sdrangne tmainka</t>
  </si>
  <si>
    <t xml:space="preserve">https://docs.google.com/document/d/1JeZ1_3vCeQlOnR4rKdAO36Ai2LBe1JCKpk_2yWE6SrA/
https://docs.google.com/document/d/1HVbSPpoK7z3AzwIxIRz7YsdpWmK_EVOyIIcjCbewwME/edit?usp=sharing
https://github.com/shjoshi2/expertiza
https://drive.google.com/file/d/0B4g3ALPcpsfIWTB5SDh4emFGVnM/view?usp=sharing
</t>
  </si>
  <si>
    <t>"- Implemented according to requirement
- User and admin can set Time zones which is reflected in the entire submissions.
- No testing done
- Need to merge latest changes"
"Doesn’t seem to have any audio either.  [Note: did not Add]
Shows selecting Indian time zone in profile.
Users are created with the same preferred timezone as their creator.
Can the date-picker select anything but deadlines on the hour?  (A lot of people like 11:59 PM.)
Why doesn’t the time offset appear in the date-picker before the due date is saved?
[It takes them 5 min to bring up their video!]
All testing done manually.
Doc does not explain why changes were needed, how timezones work now in Expertiza.
If assgt. is in FInished state, then the deadline that is being displayed is the current time (Not the deadline time).  [Note: They will report this bug.]
A lot of code is commented out.
[Project is better than score would indicate.]
212 additions, 47 deletions"
Time zones are always displayed in the current user's time zone everywhere in the application</t>
  </si>
  <si>
    <t xml:space="preserve">Design doc and final project_Team23 </t>
  </si>
  <si>
    <t>The document just barely mentions files to be modified, without saying how they will be modified.  The use cases could apply equally to the current code and to their changed code.  They have just mentioned principles and practices, but not said how they apply.</t>
  </si>
  <si>
    <t>E1476</t>
  </si>
  <si>
    <t>gshah vgarg2 shjoshi2 jhkim7</t>
  </si>
  <si>
    <t>http://wiki.expertiza.ncsu.edu/index.php/CSC/ECE_517_Fall_2014/final_E1475_nrnn
https://github.com/expertiza/expertiza/pull/460
https://github.com/ravishroshan/expertiza
https://docs.google.com/file/d/0B4-EsX-eTLFTT05yYndjX3RFWnM/edit?usp=drivesdk</t>
  </si>
  <si>
    <t>"NO VIDEO--didn't have time, they say.
One of assgts. has topics, one doesn't.
If the assgt. does not have topics, you can't do reviews at all in their system!  But it used to throw an error, now just says you can't do reviews.
They didn't fix instructor-selected reviewing, because they claim there is no code for it!
Topics made eligible by # of reviews submitted, not by # of reviews started.  This was fixed by adding a line that prevented counting reviews that have not been submitted.  And there was a conjunction added in a later if stmt.; I don't really understand that.
Threshold was not implemented in student selected; they factored out the code that did that, &amp; put it in a partial.
They moved the threshold to ""advanced options"" too; it should be back on the review strategy page, &amp; they say they'll move it.
They also fixed some bugs; they describe them in their design doc.
They did not write any tests, but did write up the manual tests they performed.
NO TIME TO REVIEW THEIR CODE--should do this when grading."
"Changes to review assignment
displaying no topics to review if there are no topics in the assignemnt.
improving the review threshold scheme for student selected
improved html rendering
moved the fields from review strategy to other tab. A new page with advanced options has been added.
they have addressed many bugs they come across."</t>
  </si>
  <si>
    <t xml:space="preserve">Design doc and final project_Team13 </t>
  </si>
  <si>
    <t>Generally good description of what is to be done.  However, the changes made to each review strategy could be enumerated more prominently  And the document ends pretty abruptly.  However, there are no mentions of principles or patterns to be used.</t>
  </si>
  <si>
    <t>E1475</t>
  </si>
  <si>
    <t>nmathew rroshan nmpedema nkatre</t>
  </si>
  <si>
    <t xml:space="preserve">https://docs.google.com/a/ncsu.edu/document/d/1iK4llnQP_sq0YnBa2lMOUS6KeO0INn4PnvXgm0yGLfs/edit
https://docs.google.com/a/ncsu.edu/document/d/1OZg_e9Ns0nqej-QYXctj-IFGasXGF2pCUjy4ggjI9CQ/edit
https://github.com/expertiza/expertiza/pull/461
http://vclv99-143.hpc.ncsu.edu:3000/
https://www.youtube.com/watch?v=zLdRXNB6iFE&amp;feature=youtu.be
</t>
  </si>
  <si>
    <t>"Video is a Google-doc link, but audio is almost unintellligibile.
Intelligent topic selection button --&gt; Intelligent topic matching.
Add feature that clicking on a topic will add it to the list [they agree] [note]
User is warned if joining a team will drop his topics.
Merging teams if the total # of members is &lt; the limit is implemented, but only at the moment of topic selection, not earlier.
Tests written using minitest, but didn't get to rspec testing.
"
"Intelligent topic selection with max number of bids - seems to work well
Max bids can be changed - through the assignment#edit
Drag topics to add them - Add the ability to click on topics to add as well"
"- Merges the teams based on team size and topic (Auto-merge)
- Intelligent assignment of teams implemented
- Implemented as required
- Done testing using minitests"</t>
  </si>
  <si>
    <t xml:space="preserve">Design doc and final project_Team2 </t>
  </si>
  <si>
    <t>The document doesn't really explain how assignment is done.  I asked for some clarification, but it has still not been provided, though in discussions with the team, it seems they understand how assignment will be done.  Also, the (degenerate) implementation of the stable-marriage solution should be discussed.  On the bright side, they have done a reasonably good job of describing the changes to be made, both from a UI point of view and in the db tables.</t>
  </si>
  <si>
    <t>E1474</t>
  </si>
  <si>
    <t>kbhupal atripat5 kmmehta njosyab</t>
  </si>
  <si>
    <t xml:space="preserve">http://wiki.expertiza.ncsu.edu/index.php/CSC/ECE_517_Fall_2014/final_E1472_gjfz
http://youtu.be/RPfzaGtJtQc
https://github.com/jessexu20/expertiza
</t>
  </si>
  <si>
    <t>"After logging in, you get redirected to port 3001.
It shows that everything is encrypted.
It does not discuss the implementation at all.
It shows what happens if a user w/o an Expertiza acct. tries to log in w/Google.
Capitalize ""e"" in Expertiza &amp; remove the second ""!"" [Note]
There is a hole in that you can change your e-mail addr. in the profile to so. you like to log in as.  So, you'll have to warn the user by e-mailing them. [Project for next year.]
[I think it's njosyab doing all the talking.]
Easy to add a button for diff, non-Google, address.
No tests; logging in w/Google would be hard to test."
"- Implemented SSL very well.
- Sign in with Google implemented if registered with Expertiza
- Implemented as required
- Done only manual testing "
"SSL for all pages - forced in all environments, should only be production
Log in with Google account - works well, only logs in users who are already in the system"</t>
  </si>
  <si>
    <t xml:space="preserve">Design doc and final project_Team7 akkn </t>
  </si>
  <si>
    <t>Some of the peer reviewers complained about a lack of design principles/patterns, but this has been addressed.  However, one of the reviewers mentioned that the SSL algorithm is not described, and should be.  I'm not sure I would endorse that, but it would sure be nice to explain how OAuth 2.0 would work in conjunction with Expertiza.  Other than that, fine job.  It really explains how the implementation will be done.</t>
  </si>
  <si>
    <t>E1473</t>
  </si>
  <si>
    <t>E1472</t>
  </si>
  <si>
    <t>pli5 sxu11 yzhang44 jgu7</t>
  </si>
  <si>
    <t>"Changed variable names to _ version.
New data structure Rscore to replace lots of global variables.
He shows the design doc &amp; the diff from the pull request.  Looks like it did simplify the code.
With 90 s. left in video, he shows the UI.
        What are the broken icons to the left of the team names?
Did not use polymorphism because it would’ve changed a lot of db tables.
Looks like the changes have been made correctly &amp; design is good, but there's lots of commented-out code that needs to be removed.
Fix documentation to say how files were changed. [Note]
Sped up display of score view from 15 min. to 11 sec.  Though I think it is really more like 90 sec. to 11 sec., as other fixes have been done in the interim."
"- Did localized changes by removing local variables
- Written method to speed up the scores view
- Moved code from view to model 
- No testing done
"
"Did a lot OSS level changes first (camel cases, refactoring)
After discussion with Dr. Gehringer, they did not do the polymorphism.
Remove the max/min/avg from the view, which is really good.
No pull request submitted- they did it during demo.
Only moved limited number of calculations from view to model (you can search for ""hardline = 85"").
No new tests were written."</t>
  </si>
  <si>
    <t xml:space="preserve">Design doc and final </t>
  </si>
  <si>
    <t>While it mentions design patterns, this design doc doesn't go far toward explaining the work that will be done.  For example, it doesn't say which methods (or which functionality) will be moved to the model.  Further, it proposes moving calculations from the views to the controller, not to the model, which is where they should be moved.</t>
  </si>
  <si>
    <t>E1471</t>
  </si>
  <si>
    <t>vsonthy sjshah abora vjsangha</t>
  </si>
  <si>
    <t xml:space="preserve">http://wiki.expertiza.ncsu.edu/index.php/CSC/ECE_517_Fall_2014/final_E1471_asuv
http://youtu.be/5us_TIz9WqM
https://github.com/expertiza/expertiza/pull/466
</t>
  </si>
  <si>
    <t>"Modify and merge grade dashboard (done originally in 2012) looks good if we do not have to wait.
Questionnaire search: just search for the names.
Questionnaire/assignment/course sortings base on update date and due dates: have been merged previously, they did not have to merge.
Descent number of files and lines changed.
Only manual tested."
"Score dashboard page: They cut the #s to 2 decimal places and added a graph of a student’s review scores (for the student’s submission).
-- would be nice to have more graphs, though
Yang: How long will it take to load if there is a big class?  Ans.: It does take a long x now.  (We should look to see if it does db accesses efficiently.)
Questionnaire display:  Implemented the questionnaire search.  It searches questionnaire names, not text w/in questionnaire.  It searches all questionnaires, not just the ones that should be visible to this instructor.
A 50-line sequence inserted in grades_controller w/o a new method being intro'd.
Testing: Didn't write any tests 
Asked them to put screenshots from questionnaire search into design doc. [Note]
On the filter: can it be in js, just open up when so. clicks on “Filter”?
They have added a “view questionnaire” icon on the course popup menu (is that what we want?  a new icon?  Maybe.)."
"- Restructuring student dashboard
- Added search based on Questionnaires
- This search is done for all questionnaires immaterial of the user
- Implemented Questionnaire search according to the course
- Manual testing only"</t>
  </si>
  <si>
    <t xml:space="preserve">Design doc and final project_Team6 </t>
  </si>
  <si>
    <t>This is a project on information display, and yet the design doc doesn't have a single mockup of a screen, even after I asked for it.  It also is not clear that the team has looked through the files they were to merge in much detail (though they have mentioned the main purpose of each file).  Also, as several reviewers have mentioned, there is no mention of design principles or practices in the design doc.</t>
  </si>
  <si>
    <t>E1470</t>
  </si>
  <si>
    <t>sjoshi6 knimgao oghanek ajoshi5</t>
  </si>
  <si>
    <t xml:space="preserve">https://docs.google.com/a/ncsu.edu/document/d/1iNfq6sYQa96SZw54C4uLgi9L7uaNDg27_yjVhGMQ7Vw/edit
https://www.youtube.com/watch?v=iTc3wxImlUM&amp;feature=youtu.be
https://github.com/expertiza/expertiza/pull/458
https://docs.google.com/a/ncsu.edu/document/d/12fg9Z539c-KPF_OwmOaMf_kKRDQSFUB5DVPr9t3ayOo/edit#
https://docs.google.com/a/ncsu.edu/document/d/1988Avma2XUIbcZcafwjgHOt42LvbBG_mdsDxaXjot-8/edit
</t>
  </si>
  <si>
    <t>"There doesn’t seem to be any audio.  It should be added [Note]
Edit a rubric
Rubric specialization is only applicable to a multipart rubric.
The 1|2 parameter boxes do not appear in their display.  Looks like they will have to add them ... [note]
There is a new Sections table.
The dropdowns look different; did they use a different library?  No, just the OS.
Not a very effective video; it shows a lot of steps that aren’t related to the functionality of the project.
But, you can uncheck the sections with a checkbox.  Would be better to have it at the right than the left, where it would be less obtrusive.
Not clear whether parts of rubric that were skipped show up on the report.
Uncheck to skip --&gt; Check to skip.  And, unboldface the text. [Note]
Didn't implement the reordering of sections, questions.
If sections or questions aren't answered, they're not included in the score computation (we saw that in the demo for sections, but not question).
You can edit a rubric to add sections.
They didn't write tests, didn't have time.
Haven't pulled the latest Rails 4
Andrew likes the refactoring of stylesheets."
"Select Section Type in a custom rubric; Section Type label should not have an underscore
Check to skip a section when reviewing, rather than uncheck to skip; move checkboxes to the side to be less obtrusive
Score calculations only give weight to answered questions."
"- Implemented rubrics and sorted questions based on sections
- Scores calculated according to the answered sections
- Sections table created in the database
- Implemented CRUD for sections
- Really good work in implementation of the rubrics
- Did not perform any tests
"</t>
  </si>
  <si>
    <t xml:space="preserve">Design doc and final project_Team22 </t>
  </si>
  <si>
    <t>Not good to split all rubrics into multiple sections.  That should be optional.  I don't see why a Sections table is necessary.  Even in the use case, there is nothing that would require it.  However, they have done a good job explaining the rationale and what they are attempting to do.  As some reviewers point out, the first class diagram is unreadable (unless you zoom way in), but they have provided another that covers the most important classes.</t>
  </si>
  <si>
    <t>2014 Fall OSS</t>
  </si>
  <si>
    <t>E1467</t>
  </si>
  <si>
    <t>vjsangha ravnee spsingh2 rroshan</t>
  </si>
  <si>
    <t>https://docs.google.com/a/ncsu.edu/document/d/17P-pzE4cReDkjOw7Q7IJr7B5POIa5tW09WTXmnL9dwk/edit#heading=h.6pw7rf8cs8u9
https://github.com/sanjeevs/expertiza
http://152.1.13.181:3000/
https://github.com/expertiza/expertiza/pull/444
http://wiki.expertiza.ncsu.edu/index.php/CSC/ECE_517_Fall_2014/OSS_E1467_rsv</t>
  </si>
  <si>
    <t>1. Good work with reducing the database accesses. 
2. Test cases are not written.
3. Code runs, at a faster speed.</t>
  </si>
  <si>
    <t xml:space="preserve">OSS project, Fall 2014_Team55 </t>
  </si>
  <si>
    <t>Good writeup, though not as detailed as some</t>
  </si>
  <si>
    <t>E1466</t>
  </si>
  <si>
    <t>jgu7 sxu11 pli5</t>
  </si>
  <si>
    <t>https://www.youtube.com/watch?v=Md4NO6VjCn8
https://github.com/maxlpy/expertiza/blob/rails4/README.rdoc
http://152.46.18.10:3000/
http://152.1.13.97:3000/
http://wiki.expertiza.ncsu.edu/index.php/CSC/ECE_517_Fall_2014/OSS_E1466_gjf</t>
  </si>
  <si>
    <t>1. couple of code has really bad style with magic constants
2. Magic constants have been fixed</t>
  </si>
  <si>
    <t xml:space="preserve">OSS project, Fall 2014_Team7 </t>
  </si>
  <si>
    <t>Good writeup; could use a bit more narration</t>
  </si>
  <si>
    <t>E1465</t>
  </si>
  <si>
    <t>apatwar oghanek knimgao</t>
  </si>
  <si>
    <t xml:space="preserve">http://152.46.19.97:3000/
https://github.com/ameyp1992/expertiza.git
http://wiki.expertiza.ncsu.edu/index.php/CSC/ECE_517_Fall_2014/oss_E1465_oak
https://github.com/expertiza/expertiza/pull/434
</t>
  </si>
  <si>
    <t>1. Most are localized changes
2. No mention about tests
3. No major refactoring and the method hasn't improved much
4. Done what is mentioned in the project writeup</t>
  </si>
  <si>
    <t xml:space="preserve">OSS project, Fall 2014_Team54 </t>
  </si>
  <si>
    <t>About half of the report is screenshots of existing functionality.  Only a few stylistic changes seem to have been made.  Style is now better, but these are not real refactorings.</t>
  </si>
  <si>
    <t>E1464</t>
  </si>
  <si>
    <t>vgarg2 nkatre njosyab</t>
  </si>
  <si>
    <t>https://github.com/joshnikhil234/expertiza
http://152.1.13.186:3000/
https://github.com/expertiza/expertiza/pull/441
http://wiki.expertiza.ncsu.edu/index.php/CSC/ECE_517_Fall_2014/OSS_E1464_vnn</t>
  </si>
  <si>
    <t>1. Only localized changes. 
2. No refactoring at all
3. No mention about tests
4. Done what is mentioned in the project writeup</t>
  </si>
  <si>
    <t xml:space="preserve">OSS project, Fall 2014_Team21 </t>
  </si>
  <si>
    <t>Report tends to be a listing of code changes, w/no description.  Except for style, there is no application of design principles.</t>
  </si>
  <si>
    <t>E1463</t>
  </si>
  <si>
    <t>jjbeaver sfernan2 vpiddem</t>
  </si>
  <si>
    <t xml:space="preserve">http://wiki.expertiza.ncsu.edu/index.php/CSC/ECE_517_Fall_2014/oss_E1462_nms
http://152.46.18.142:3000
https://github.com/nmpedema/expertiza
https://github.com/expertiza/expertiza/pull/448
</t>
  </si>
  <si>
    <t>1. Most of them are localized changes
2. The project still runs.</t>
  </si>
  <si>
    <t xml:space="preserve">OSS project, Fall 2014_Team10 </t>
  </si>
  <si>
    <t>Writeup doesn't clearly indicate what changes were made. There is a tendency to show "before" and "after" versions without saying what is different between them.  It doesn't mention design principles, nor list any design patterns.  Reviewers had trouble understanding code.</t>
  </si>
  <si>
    <t>E1462</t>
  </si>
  <si>
    <t>sabdul nmpedema msammet</t>
  </si>
  <si>
    <t>1. Moved functionality to the correct place
2. Code looks clean now
3. Functionality works according to the report
4. Used helper method and moved active records to model 
5. The code runs</t>
  </si>
  <si>
    <t xml:space="preserve">OSS project, Fall 2014_Team61 </t>
  </si>
  <si>
    <t>Writeup clearly explains what was changed, but not how it was changed.  For example a number of instance variables were removed and replaced by a call to get_assigned_surveys, but get_assigned_surveys is not described.  Design principles are mentioned, but no mention of design patterns.</t>
  </si>
  <si>
    <t>E1461</t>
  </si>
  <si>
    <t>nurahman njclimer knschne2</t>
  </si>
  <si>
    <t>(Student, 5562)
Student 5588 (Student, 5588)
Student 5570 (Student, 5570)
https://github.com/IdeaHat/expertiza
https://github.com/expertiza/expertiza/pull/431
http://152.46.20.188:3000/
https://docs.google.com/document/d/1UxFKxeCyh5bnMJiX6mavq4N3XCXFCW9EViGj6lR0n9A/edit
https://gist.github.com/IdeaHat/9639efc695b83f4d603b
http://wiki.expertiza.ncsu.edu/index.php/CSC/ECE_517_Fall_2014/OSS_E1461_knn</t>
  </si>
  <si>
    <t>1. Good localized changes.
2. No real refactorings
3. They did identify refactorings that should be done, but lacked time to do them.
So, they did a good job of what they did, but they were not ambitious enough.</t>
  </si>
  <si>
    <t xml:space="preserve">OSS projectt, Fall 2014_Team11 </t>
  </si>
  <si>
    <t>Very detailed writeup, with suggestions on what should be done next.</t>
  </si>
  <si>
    <t>E1460</t>
  </si>
  <si>
    <t>vsonthy aagrawa5 ajoshi5</t>
  </si>
  <si>
    <t>http://54.68.209.92:8080
https://github.com/ankit3005/expertiza
https://github.com/expertiza/expertiza/pull/447
http://wiki.expertiza.ncsu.edu/index.php/CSC/ECE_517_Fall_2014/oss_E1460_aua</t>
  </si>
  <si>
    <t>1. Good localized changes.
2. Almost no real refactorings (except for calculate_score, which should have been broken into multiple methods)
So, they did a good job of what they did, but they were not ambitious enough.</t>
  </si>
  <si>
    <t xml:space="preserve">OSS project, Fall 2014_Team15 </t>
  </si>
  <si>
    <t>Very detailed writeup; every line that was changed is explained.</t>
  </si>
  <si>
    <t>E1459</t>
  </si>
  <si>
    <t>jmgoldsw rrmercer jmkubasc</t>
  </si>
  <si>
    <t>https://github.com/jmkubasc/expertiza
http://152.1.13.96:3000
https://docs.google.com/document/d/1iU1FyPgfn5LmILBxnmcBW7kOrv3zC_FYmhRgVuj9ct0/edit?usp=sharing
https://docs.google.com/a/ncsu.edu/document/d/1ZlRU_eBVUNLW51yZQgd2buqGRCcH-U0w9DH896WhUUo/edit?usp=sharing
http://wiki.expertiza.ncsu.edu/index.php/CSC/ECE_517_Fall_2014/oss_E1459_jjr</t>
  </si>
  <si>
    <t>1. Signup sheets (except for bookmarks) work for students, but instructors can't edit or delete topics (the icons don't appear).  
2. However, instructors can add topics.</t>
  </si>
  <si>
    <t xml:space="preserve">OSS project, Fall 2014_Team14 </t>
  </si>
  <si>
    <t>Insufficient explanation of changes.</t>
  </si>
  <si>
    <t>E1458</t>
  </si>
  <si>
    <t>sjoshi6 tmainka sdrangne</t>
  </si>
  <si>
    <t>https://github.com/sjoshi6/expertiza
http://152.46.19.211:3000/
http://wiki.expertiza.ncsu.edu/index.php/CSC/ECE_517_Fall_2014/oss_E1458_sst</t>
  </si>
  <si>
    <t>1. Looks like they made good changes, but they can't be tested, because the Rubrics tab in assignment creation does not work.  
2. Nor does deadlines tab, and no assignments are in the review period.</t>
  </si>
  <si>
    <t xml:space="preserve">OSS project, Fall 2014_Team53 </t>
  </si>
  <si>
    <t>Good, readable, not as extensive as some.</t>
  </si>
  <si>
    <t>E1457</t>
  </si>
  <si>
    <t>gshah sjshah abora</t>
  </si>
  <si>
    <t>https://github.com/si2dharth/expertiza
http://ec2-54-200-50-161.us-west-2.compute.amazonaws.com:8080/
http://wiki.expertiza.ncsu.edu/index.php/CSC/ECE_517_Fall_2014/oss_E1457_ags</t>
  </si>
  <si>
    <t>1. Assign reviews does not work.
2. Many changes are only to whitespace, and will confuse the "blame" function
3. Testing is lacking, according to reviewers</t>
  </si>
  <si>
    <t xml:space="preserve">OSS project, Fall 2014_Team44 </t>
  </si>
  <si>
    <t>Very little of the writeup refers to changes made by their project.</t>
  </si>
  <si>
    <t>E1456</t>
  </si>
  <si>
    <t>atripat5 kbhupal kmmehta</t>
  </si>
  <si>
    <t xml:space="preserve">http://wiki.expertiza.ncsu.edu/index.php/CSC/ECE_517_Fall_2014/oss_E1456_akk
http://152.1.13.221:2555/
https://github.com/kbhupal/expertiza
https://github.com/expertiza/expertiza/pull/438
</t>
  </si>
  <si>
    <t>1. Deleting question does not work. 
2. Edit/View Advice returns back to the main page.
3. Most functionality in the metareview and author feedback does not work either.</t>
  </si>
  <si>
    <t xml:space="preserve">OSS project, Fall 2014_TeamKAK </t>
  </si>
  <si>
    <t>Very clear.</t>
  </si>
  <si>
    <t>E1455</t>
  </si>
  <si>
    <t>ssangane ksantha2 nmathew</t>
  </si>
  <si>
    <t>https://github.com/noelmathew/expertiza/
http://152.46.16.178:3001/analytic/index.html
http://wiki.expertiza.ncsu.edu/index.php/CSC/ECE_517_Fall_2014/OSS_E1455_skn</t>
  </si>
  <si>
    <t>1. code runs
2. no comments in the code. Added later
3. few comments about the readability of the code
4. no tests</t>
  </si>
  <si>
    <t xml:space="preserve">OSS project, Fall 2014_Team2 </t>
  </si>
  <si>
    <t>E1454</t>
  </si>
  <si>
    <t>E1453</t>
  </si>
  <si>
    <t>ynandak ynallab shjoshi2</t>
  </si>
  <si>
    <t>http://152.46.18.5:3000/
https://github.com/itsmylifesoham/expertiza
http://wiki.expertiza.ncsu.edu/index.php/CSC/ECE_517_Fall_2014/oss_E1453_syy</t>
  </si>
  <si>
    <t>1. When they added new code, frequently they commented out the old code, rather than deleting it.
2. Well localized changes, only 8 files changed.
3. Good comments.</t>
  </si>
  <si>
    <t xml:space="preserve">OSS project, Fall 2014_Team56 </t>
  </si>
  <si>
    <t>E1452</t>
  </si>
  <si>
    <t>https://github.com/sjames3/expertiza
http://wiki.expertiza.ncsu.edu/index.php/CSC/ECE_517_Fall_2014/OSS_E1452_slj</t>
  </si>
  <si>
    <t>1. Most changes are micro changes to improve Ruby style in a single statement.  And he didn't catch all of them (e.g., "== true")
2. No design changes at all, just renamings and re-indentations.
3. Some names were more reasonable before he changed them.</t>
  </si>
  <si>
    <t xml:space="preserve">OSS project, Fall 2014_Team1 </t>
  </si>
  <si>
    <t>E1451</t>
  </si>
  <si>
    <t>tluo psolank rarora4</t>
  </si>
  <si>
    <t xml:space="preserve">https://github.com/macluo/expertiza
https://github.com/expertiza/expertiza/pull/445
http://wiki.expertiza.ncsu.edu/index.php/CSC/ECE_517_Fall_2014/OSS_E1451_las
http://152.46.20.165:3000/
</t>
  </si>
  <si>
    <t>1. have to check if it is running (pallavi)
2. no comments in the code
3. good reviews about the readability of the code</t>
  </si>
  <si>
    <t>Team Expertiza Mailers</t>
  </si>
  <si>
    <t>Good writeup, till we get to "Known issues". Most of them are not clear at all.</t>
  </si>
  <si>
    <t>E1450</t>
  </si>
  <si>
    <t>clin12 xshao2 mliu9</t>
  </si>
  <si>
    <t>http://wiki.expertiza.ncsu.edu/index.php/CSC/ECE_517_Fall_2014/OSS_E1450_cxm
http://152.46.18.173:3000
https://github.com/shaoxq1205/expertiza/tree/production</t>
  </si>
  <si>
    <t>1. No pull request submittted (it's present but closed)
2. Haven't done much work and Yang does not recommend merging it
3. They worked on the production branch</t>
  </si>
  <si>
    <t xml:space="preserve">OSS project, Fall 2014_Team13 </t>
  </si>
  <si>
    <t>The screenshots are at the end, which is too far down.  They should be near where the screens are talked about.  I don't think the Javascript functions are adequately defined.  Exactly what do they do (and it looks like they are too long)?</t>
  </si>
  <si>
    <t>2014 Spring Final</t>
  </si>
  <si>
    <t>E1415</t>
  </si>
  <si>
    <t>Improvements to assignment creation &amp; editing</t>
  </si>
  <si>
    <t>mdnevill rjlloyd wemorrow</t>
  </si>
  <si>
    <r>
      <rPr>
        <rFont val="arial,sans,sans-serif"/>
      </rPr>
      <t xml:space="preserve">https://github.com/losmescaleros/expertiza
</t>
    </r>
    <r>
      <rPr>
        <rFont val="arial,sans,sans-serif"/>
        <color rgb="FF1155CC"/>
        <u/>
      </rPr>
      <t>https://drive.google.com/file/d/0Bwl4erOZvgJCc3lPMjJKRXI1S3M/edit?usp=sharing</t>
    </r>
    <r>
      <rPr>
        <rFont val="arial,sans,sans-serif"/>
      </rPr>
      <t xml:space="preserve">
https://drive.google.com/file/d/0B4fHJLhUxHz4Y3dQR3EtZjlFOEE/edit?usp=sharing
https://drive.google.com/file/d/0B_ZPMGPU5JvLaFhKXzMzTi1lYkE/edit?usp=sharing
http://youtu.be/cJaggbjhSsc
http://youtu.be/-_SSZRb7C4o
http://youtu.be/blw8V-xuw1M
</t>
    </r>
  </si>
  <si>
    <t>"Topics tab was updated and creating multiple topics are easier.
The day time picker was improved
the saving due dates process was improved.
Assignment controller was tested"
"Demo video has three parts.
Part two: explains some of their RSpec tests for assignment controller, 15 cases passed.  
Part three: allow multiple topics created in ""Editing Assignment"" view. If you have many blank entries for new topic, it is ok to leave some of them empty.  "
"Extensions to assignments form object
 They do a transaction to persist all the changes.
 However, even if not persisted, it's still in the object, so when it redisplays, the fields are still filled in.
Improve due-date functionality, date-time picker interface
  It now comes up with the date specified when you edit a date
  But it still has seconds (as well as minutes)
Due dates now passed as an array in the params hash.
  Now controller iterates rather than view.
Code seems reasonable.
Functional tests for assgt. controller
All of tests are done in rspec (video screen is colors on black, very hard to see).
One of tests is assignments/show.  He runs through a description of what it does.
Some views redirect, e.g., copy.  He displays redirects for awhile.
Then he shows fixtures.
The third video is on topic creation.
You can create any number of rows by clicking a button repeatedly.  (But you can't specify the # of rows like you can in rubric creation.)"</t>
  </si>
  <si>
    <t>Design document, Spring 2014</t>
  </si>
  <si>
    <t>Writeup says what classes are changed, but not how they are changed.
In general, writeup is too short.  But they will add descriptions of the changes to each class.</t>
  </si>
  <si>
    <t>E1414</t>
  </si>
  <si>
    <t>Testing classes related to teams</t>
  </si>
  <si>
    <t>yhong3 xguo6 qjia2</t>
  </si>
  <si>
    <r>
      <rPr>
        <rFont val="arial,sans,sans-serif"/>
      </rPr>
      <t xml:space="preserve">http://wiki.expertiza.ncsu.edu/index.php/CSC/ECE_517_Spring_2014/oss_E1414_st
https://github.com/expertiza/expertiza/pull/411
http://youtu.be/kKnP1nyaoSc
</t>
    </r>
    <r>
      <rPr>
        <rFont val="arial,sans,sans-serif"/>
        <color rgb="FF1155CC"/>
        <u/>
      </rPr>
      <t>http://wiki.expertiza.ncsu.edu/index.php/CSC/ECE_517_Spring_2014/final_doc_updated_qyx</t>
    </r>
    <r>
      <rPr>
        <rFont val="arial,sans,sans-serif"/>
      </rPr>
      <t xml:space="preserve">
</t>
    </r>
  </si>
  <si>
    <t>"tested files:
assignment_team 86%
course_team 82%
team_user
team_user_controller
advertise_teammember_controller
team
2 failed tests
original coverage was 19%, after their work they got 22.57% after their work
For the files they tested, the coverage looks good"
"6 classes under test
22.57% coverage (starting coverage is about 19%~20%)
"
"assignment_team.rb
course_team.rb
team_users.rb
team.rb
team_users_controller.rb
advertise_for_partners_controller.rb'
105 tests, 156 assertions, 2 failures
Xiangyang says that in the code we provided, there is no fixture where a team has a topic."</t>
  </si>
  <si>
    <t xml:space="preserve">qjia2 </t>
  </si>
  <si>
    <t>The design doc is really just a set of lists without much explanation. Their document is not clear enough. It is not clear how many bugs did they find.</t>
  </si>
  <si>
    <t>E1413</t>
  </si>
  <si>
    <t>mmehta2 nvnaik pysatosk</t>
  </si>
  <si>
    <t xml:space="preserve">http://youtu.be/fke8j5o-IW8
https://github.com/expertiza/expertiza/pull/410
http://152.46.16.148:3000
</t>
  </si>
  <si>
    <t>"Shows old reviewer report
Popup replaced by HTML page
Displays all the reviews by a reviewer on the same page.  I suggest a set of hyperlinks at the top to each of them.
"
They refactored the view for the instructor to view the review/ metareview/ teammate review and author feedback.
"Four new icons are added to pop up menu e.g. Teammate review report.
Click on reviewer can see details of review.
"</t>
  </si>
  <si>
    <t xml:space="preserve">E1413 team </t>
  </si>
  <si>
    <t>E1412</t>
  </si>
  <si>
    <t>makhavne mjain2 bpandia</t>
  </si>
  <si>
    <t xml:space="preserve">https://docs.google.com/a/ncsu.edu/document/d/13V25C49cIWBzEeQf9NLJ_IJVPKBqSCwvAZ4hCx7e28w/edit?usp=sharing
https://github.com/makhavne/expertiza
http://youtu.be/ndv6CZ_wuKk
http://wiki.expertiza.ncsu.edu/index.php/CSC/ECE_517_Spring_2014/E1412-Creating_Custom_Rubric-updated
</t>
  </si>
  <si>
    <t>"Re-ordering the rubric questions base on how many students have answered the questions
use the 1/2 and 2/2 to order the questions. they claimed they can also do more than 2 in ordering questions.
"
"student 1 didn't answer short response, next person see short response appears before checklist.
 "
"Make qq. w/a lower response count appear at the top.
They do a review, but leave the short-response section unanswered.  (All other sections are answered.)
Unanswered qq. from ratings section appear at the top of ratings (that’s wrong!).
  But, if you want qq. to appear together, you can do 1|4, 2|4, etc. for the group.
And the short-response section does not appear first, because avg. # of qq. answered is low.
        The sections are sorted based on the avg. # of times criteria were responded to.  Integer division is used, &amp; if two sections tie, they are not rearranged.
        Sth. about a factor of 3 (is that in the documentation?)
        But the next time it does come to the top.
        (Criteria are not clear at all.)
"</t>
  </si>
  <si>
    <t xml:space="preserve">Design document, Spring 2014_Team1 </t>
  </si>
  <si>
    <t>E1411</t>
  </si>
  <si>
    <t>They integrate Drop-off Site into the system. They created the Drop-off site table. It is a type of Warehouse. 
"Add a link to Drop-off site.
Add a drop-down text list which can link to another page.
Add table in DB for drop-offs. Looks like this project is pretty ""vertical""."
"Customize dropoff site ... dropoff sites are heavyweight; for a small incident, there should be an easier way to set them up.
Dropoff sites are a kind of facility."</t>
  </si>
  <si>
    <t>2014 Spring OSS</t>
  </si>
  <si>
    <t>E1406</t>
  </si>
  <si>
    <t>yhong3 qjia2 xguo6</t>
  </si>
  <si>
    <r>
      <rPr>
        <rFont val="arial,sans,sans-serif"/>
        <color rgb="FF1155CC"/>
        <u/>
      </rPr>
      <t>http://wiki.expertiza.ncsu.edu/index.php/CSC/ECE_517_Spring_2014/oss_E1406_st</t>
    </r>
    <r>
      <rPr>
        <rFont val="arial,sans,sans-serif"/>
      </rPr>
      <t xml:space="preserve">
https://github.com/expertiza/expertiza/pull/411
https://github.com/yhong3/expertiza
</t>
    </r>
  </si>
  <si>
    <t xml:space="preserve">OSS project, Spring 2014_Team2 </t>
  </si>
  <si>
    <t>The writeup says a lot about what tests are currently in the system, but does not explain how they have been improved.</t>
  </si>
  <si>
    <t>E1405</t>
  </si>
  <si>
    <t>seschro2 drfarrel</t>
  </si>
  <si>
    <t xml:space="preserve">https://github.com/dfarrell07/expertiza/
http://wiki.expertiza.ncsu.edu/index.php/CSC/ECE_517_Spring_2014/oss_E1405_irw
</t>
  </si>
  <si>
    <t xml:space="preserve">Regex team </t>
  </si>
  <si>
    <t>Very short, only gives a vague idea of what was done.  You really have to read the code to tell.</t>
  </si>
  <si>
    <t>E1404</t>
  </si>
  <si>
    <t>pysatosk nvnaik mmehta2</t>
  </si>
  <si>
    <r>
      <rPr>
        <rFont val="arial,sans,sans-serif"/>
      </rPr>
      <t xml:space="preserve">http://152.46.16.148:3000/
</t>
    </r>
    <r>
      <rPr>
        <rFont val="arial,sans,sans-serif"/>
        <color rgb="FF1155CC"/>
        <u/>
      </rPr>
      <t>http://wiki.expertiza.ncsu.edu/index.php/CSC/ECE_517_Spring_2014/oss_E1404_mnp</t>
    </r>
    <r>
      <rPr>
        <rFont val="arial,sans,sans-serif"/>
      </rPr>
      <t xml:space="preserve">
https://github.com/expertiza/expertiza/pull/410</t>
    </r>
  </si>
  <si>
    <t xml:space="preserve">OSS project, Spring 2014_Team1 </t>
  </si>
  <si>
    <t>Covers the topic, but not particularly easy to read (motivation is skimpy).</t>
  </si>
  <si>
    <t>E1403</t>
  </si>
  <si>
    <t>E1402</t>
  </si>
  <si>
    <t>mjain2 bpandia makhavne</t>
  </si>
  <si>
    <r>
      <rPr>
        <rFont val="arial,sans,sans-serif"/>
      </rPr>
      <t xml:space="preserve">http://152.7.99.140:3000/
https://github.com/makhavne/expertiza/tree/e35310695bcb9ab8f3dfcf15f5b7ac33a885d390
</t>
    </r>
    <r>
      <rPr>
        <rFont val="arial,sans,sans-serif"/>
        <color rgb="FF1155CC"/>
        <u/>
      </rPr>
      <t>http://wiki.expertiza.ncsu.edu/index.php/CSC/ECE_517_Spring_2014/oss_E1402_mmb</t>
    </r>
  </si>
  <si>
    <t xml:space="preserve">OSS project, Spring 2014_Team5 </t>
  </si>
  <si>
    <t>Pretty good on many aspects, but does not explain design principles or patterns used, which was a major objective of the assignment.</t>
  </si>
  <si>
    <t>E1401</t>
  </si>
  <si>
    <r>
      <rPr>
        <rFont val="arial,sans,sans-serif"/>
      </rPr>
      <t xml:space="preserve">https://github.com/losmescaleros/expertiza
</t>
    </r>
    <r>
      <rPr>
        <rFont val="arial,sans,sans-serif"/>
        <color rgb="FF1155CC"/>
        <u/>
      </rPr>
      <t>http://wiki.expertiza.ncsu.edu/index.php/CSC/ECE_517_Spring_2014/oss_E1401_lmn</t>
    </r>
    <r>
      <rPr>
        <rFont val="arial,sans,sans-serif"/>
      </rPr>
      <t xml:space="preserve">
</t>
    </r>
  </si>
  <si>
    <t xml:space="preserve">OSS project, Spring 2014_Team3 </t>
  </si>
  <si>
    <t>Very intuitive description of what was done.  Howeer, they don't indicate what changes were made to existing code, and don't show what functionality ended up in which classes.</t>
  </si>
  <si>
    <t>2013 Fall Final</t>
  </si>
  <si>
    <t>E917</t>
  </si>
  <si>
    <t>Finish Cucumber test suite</t>
  </si>
  <si>
    <t>djkernic vverma2 skypa hsure</t>
  </si>
  <si>
    <t>https://docs.google.com/document/d/1dD-ccIGaPl47VjuG93uJGU6WgRcxqbGHmy9YX1JVe_M/edit?usp=sharing
https://github.com/dkernicky/expertiza
http://jo.my/csc517_video_e917</t>
  </si>
  <si>
    <t>"Initially, out of 52 scenarios, 13, 33, 1 was undefined, only 5 passed.
Used tools
launchy (gem was already installed, but needed to add the config)
  (config stuff is in xml-libraries directory)
simplecov
launching (save &amp; open page)
Fixed syntax errors so test wouldn’t fail if there ?was no first name?.
Invalid fks kept quite a few tests from running.  Fixed by adding instructor ID before saving the assgt.
Some code wasn’t working: copying, deleting courses; we commented out those tests.
Ultimately, 38 out of 38 scenarios passed (313 steps pass).
Now, we have 26% code coverage instead of 1.6% (including views?  they don't know).
"
"1.All the tests were passing
2.Increased code coverage from 21% to 26%
3.They have modified the document to include the suggestions of Professor."
"Significant improvement in code coverage from 21 to 26%
Some good tests related to browser, capybara mismatch"</t>
  </si>
  <si>
    <t xml:space="preserve">Final project, Fall 2013_Team14 </t>
  </si>
  <si>
    <t>E916</t>
  </si>
  <si>
    <t>Testing of e-mail functionality</t>
  </si>
  <si>
    <t>skhare vsharma4 adkalant sagarn</t>
  </si>
  <si>
    <t>https://github.com/expertiza/expertiza
https://github.com/vsharma4/expertiza
http://www.youtube.com/watch?v=XJfNcweYVHo</t>
  </si>
  <si>
    <t>"Shows delayed_job table
Instructors indicate they want to get copies of e-mail sent to students.  You get every 3rd e-mail.  (They are not sure they can change this this semester.)
Log of e-mails maintained as a text file.  [But this contains only e-mails; wouldn't it be useful to put other info in here?]  This is instead of log entries going into production log or development log.
They sent e-mail from a dummy account; needs to be changed to a local acct. on the Expertiza server."
"Topic:Testing of e-mail functionality
-gem delayed_job_active_record is used
-the delayed_jobs table contains the status of the jobs that are en-queued
-instructor receives every third email
-Log is maintained that contains the email ids to which email is sent 
"
"Instructor can change e-mail options in his user profile information 
They said that they implemented a new log file, containing the emails sent. 
Then both instructor and students received notification emails."</t>
  </si>
  <si>
    <t xml:space="preserve">Invincibles </t>
  </si>
  <si>
    <t>E915</t>
  </si>
  <si>
    <t>Better display of review info</t>
  </si>
  <si>
    <t>jtbangan vkara pyadla ljdmello</t>
  </si>
  <si>
    <t>http://www.youtube.com/watch?v=0JqyE4Cicko</t>
  </si>
  <si>
    <t>"What do the tabs at the corner of the cells mean?  If they are links to comments, would they not be there if there weren’t a comment?  (It indicates that there is a comment, which you can view by hovering your mouse over it.)
You can now see the review someone's metareview pertains to.
You can view scores as a bar graph, which shows you which qq. you did well or poorly on.
But you have to hover over the bar to see the q.
What technology did you use to implement the popup?  Is it the same as in the reviewer report?  Better?  They used Highcharts to do bar charts.  It was already used in the system.  Json objects used for this.
Refactored response.rb to move code that writes html out of the model, &amp; prevent retrieving them over &amp; over again.
Twitter Bootstrap?
What does this look like from the instructor’s view?
Many tests have been written, but they do not run (I did not catch why this is)."
"Seperate feedback from responses
Provide a link to view if metareview is performed
Using Hidhcharts to integrate the view
move display_as_html to model
Didn't move on to the view for instructor, they presented some ideas for this: hover over the the team and show the scores
Tests: they use existing test.
(I may miss some parts because I was 10 mins late..) 
"
"Title: Refactoring of review display
Problem: Solves the problem of scrolling in reviews. difficult to compare reviews
Features:
- On the view scores link, added table to display the reviews
- Very good feature to see the comment in the table on doing view scores
- Linked back the metareview the review which was not present
- View comment by hovering your mouse over the comment.
- Very good display of bar chart showing strong points in the review
- Compared with other D3js, highcharts to display the graphs which is good
- In response.rb display_as_html method returns html should not be returned, retuns same question over and over again, so they used a partial which is very good."</t>
  </si>
  <si>
    <t xml:space="preserve">Final project, Fall 2013_Team2 </t>
  </si>
  <si>
    <t>E914</t>
  </si>
  <si>
    <t>abhutan amadaan nahir sbhatt</t>
  </si>
  <si>
    <t>https://www.youtube.com/watch?v=GXgdUW5FgLk
https://github.com/sudhanshubhatt/expertiza
https://github.com/expertiza/expertiza/pull/383
http://152.7.99.40:3000/</t>
  </si>
  <si>
    <t>"All calls to ResponseMap have now been directed to Response
They fixed most of problems w/response map; app runs for the most part.
Can add participants.
Can do reviews.
What about metareviews, teammate reviews?
Reference to ResponseMaps eliminated.
"
"1.Refactored  review_response and review_response_map
2."
"-remove the responsemap class and all calls to responsemap has been redirected to response
-migration script to remove the map_id col and response type in the response tables
"</t>
  </si>
  <si>
    <t xml:space="preserve">E914_Team_Rails </t>
  </si>
  <si>
    <t>E913</t>
  </si>
  <si>
    <t>Authorization</t>
  </si>
  <si>
    <t>smairpa npari kspatel6 vshesha</t>
  </si>
  <si>
    <t xml:space="preserve">https://docs.google.com/a/ncsu.edu/document/d/15eHRz3SCdk9mInohb5RY9hdHFQA_3k0p9N2VR3QHP88/edit#
http://152.46.17.175:3000
http://www.youtube.com/watch?v=tPAC9B1Uui4&amp;feature=youtu.be
https://github.com/kristyspatel/expertiza
</t>
  </si>
  <si>
    <t>"Starts w/a description of current authorization (good video).
Override auth_check to change message that is given.
Shows action being permitted, being denied.
Their example of an action prohibited to a particular user is the super-admin 
Are students stopped from looking at each other's reviews?  Yes, this was earlier in the demo, he says.
Roles/permissions table dropped from db.
"
"1.Authorization done for the different roles 
2.Refactored code to remove roles_scope table
3. Good design used.
4. Tests were not done."
"-The flash_msg, action_allowed methods are overridden in all controllers which is good and can be specialized. A new module named AccessHelper has been created in access_helper.rb inside the Helper folder. (Good design since now can only override if need new message for any controller)
"</t>
  </si>
  <si>
    <t xml:space="preserve">Final project, Fall 2013_Team26 </t>
  </si>
  <si>
    <t>E912</t>
  </si>
  <si>
    <t>Connect changes to score model with changes to score views</t>
  </si>
  <si>
    <t>sandi nshubhy ajain17</t>
  </si>
  <si>
    <t xml:space="preserve">http://www.youtube.com/watch?v=bKt58M26tXY&amp;feature=youtu.be
http://github.com/ajain2709/expertiza
</t>
  </si>
  <si>
    <t>"1.Student view changed for scores for each tab
2.Faculty view changed for scores
3.Tests were demoed(Capybara and RSpec)
4.It seemed from the demo that there was significant speed up for view scores.
"
"Topic: Connect changes to score model with changes to score views 
For the student view,
-added a weighted average tab on the scores page(should be renamed to composite score)
-reviews are rows and questions are columns, can immediately see all 2 points 
For the instructor view,
-Weighted score is added
Tests have been shown in demo which is great!"
"I think the “weighted average” tab should be renamed to ? (It doesn’t say what the weighted avg. is of.) Composite score?
Students seem to have tunnel view.  You could show all the tabs at one time.
How much is written to the HTML page when “View scores” displays?
Can we see the tests run?  (Please add to video.)
Tested all functionality re. fetching scores.  They were more excited about showing tests than any group I've seen in any year."</t>
  </si>
  <si>
    <t xml:space="preserve">Final project, Fall 2013_Team8 </t>
  </si>
  <si>
    <t>E911</t>
  </si>
  <si>
    <t>Integration &amp; testing D: Info display &amp; student interaction</t>
  </si>
  <si>
    <t>avrohama mknayak rkazi semhatr2</t>
  </si>
  <si>
    <t>http://goo.gl/NlJxea
https://www.youtube.com/watch?v=WWtMlZ5pvwU&amp;feature=youtu.be
https://github.com/raheelka/expertiza-1/tree/OSS-E911
http://wiki.expertiza.ncsu.edu/index.php/CSC/ECE_517_Fall_2013/final_E911_rmsa</t>
  </si>
  <si>
    <t>"1) Better display for Assignments (E707) 
   assignments are displayed under courses in TreeDisplay
   provide a search/sort filter of assignments/questionnaire/course
2) Dashboard for students (E715) 
   “Your score” page: class Statistics and grade distribution
3) Take report from students on results of interaction with helpers from other groups (E722) 
   They said they have too much issues merging this project. But they provide a document for future users. "
"Main difficulty was that the projects were done in Rails 2.  They created a repository w/current Rails code; pulled all the branches from this &amp; then merged w/current Expertiza.
[Long gap in video, which has not been edited.]
E707  But is it good to have all courses open expanded with assignments?  Then you have to scroll down a long way to find some assignments.  That’s what the “Assignments” node is for! [They will fix this.]
They removed sort options that were redundant &amp; added sort by ?date updated?  Assgts. or  or courses can be sorted by date.
        What does this do to questionnaires?  Does it sort the various types of questionnaires by date?
Questionnaires are sorted by a dropdown instead of having a separate way to sort them.
E715 Dashboard for students
  Does the grade distribution always appear on the “Your scores” page?  Can you turn it off? (it takes quite a bit of space).
  They fixed a bug in calculating # of reviews &amp; metareviews.
  Also did some refactoring.
E722 Report of interaction w/another group
  They added a wiki page on this.
  It used the old assgt. controller.
  Problems
    161 files changed -- time-consuming to merge.
    Extended a previous unmerged project.
    A lot of redundant code.  Needed refactoring.
    A lot of views have been changed (which?)
    Interaction Review didn't have a TreeNode, so it didn't show up in listing.
    Some new migrations that are not present in old repo.
    I didn’t understand the part about key values.
    He says he added code for some views.  Explain.
    Inserted a Code Climate report.
    Writeup on how to fix it does not recommend a complete rewrite, perhaps looking at old code for ideas.  Why not?
"
"Date updated function implemented.
Avg No. of reviews done but need to take only till first 2 decimal digits
Some changes done at database and migration for getting interation button
Capybara, selinium tests done
Merging strategy added in report
Good suggestions like rebuilding E722."</t>
  </si>
  <si>
    <t xml:space="preserve">Final project, Fall 2013_Team5 </t>
  </si>
  <si>
    <t>E910</t>
  </si>
  <si>
    <t>Integration &amp; testing C: Reputation system, penalty wizard</t>
  </si>
  <si>
    <t>sramesh3 jdmara pupadhy2 sayenga</t>
  </si>
  <si>
    <t>https://github.com/mdjayaprakash/expertiza/tree/Penalty-Wizard</t>
  </si>
  <si>
    <t>"Some improvements like green flash if success, Points of penalty to be shown as 25pts.
Time zones had to be tested.
Some good changes like un-checking the penalty does not require to select no penalty again by the user, as it happened before.
Overall liked the work, there were a lot of significant changes but some UI aspects need to be corrected as mentioned in Point 1.
Test cases are present but not tested.
Day functionality not properly implemented, it is calculating per hour is this case as well.
"
"1.Penalty system implemented
2.Fixed a bug related to unchecking of penalty
3.Test cases are present but they were not executed
4.Timezone scenario could be tested
5.If the penalty time unit is set as 1 day and the student is late by 1 hour even then the penalty applied should be 1 days penalty
"
"Again, a flashed message doesn’t use the flash functionality.
Video is much too long, given the functionality that it shows.  Should’ve been edited.  You have to be very careful to see what the video is supposed to show.
        When penalties are imposed, why are they?  Demo should explain.
There’s a new “Submission penalty” column in the report.  Too heavyweight?
Penalties are reported to about 15 digits!
Demo doesn’t include anything about reputation system (how to make it more elegant, for example).
"</t>
  </si>
  <si>
    <t xml:space="preserve">Final project, Fall 2013_Team31 </t>
  </si>
  <si>
    <t>E909</t>
  </si>
  <si>
    <t>Integration &amp; testing B: Reviewing functionality</t>
  </si>
  <si>
    <t>tarora mgupte pkadam sarora3</t>
  </si>
  <si>
    <t xml:space="preserve">http://www.youtube.com/watch?v=7wwMCkFA6Ko
http://www.youtube.com/watch?v=UbrmfZ_ErVw
https://github.com/meghangupte/expertiza
https://github.com/prathu999/expertiza
</t>
  </si>
  <si>
    <t>"Shows the teammate evaluation rubric adjustment.  Is integrated into production
Evidently the display does not say why the extra points were added.  Right?  But it could.  They will add an info button for that too.
E712 Improvements to code review.
Removed the “Code review dashboard” on non-code-review assgts.
        Box “to code review assgt.” is badly titled.
"
"Topic1: E712-Improvement to code review project
Code review dashboard displayed only after code has been submitted
On click on it, redirected to a page where you can see which versions have been submitted
code reviewer should be able to respond to the author
Topic2: E711-Non linear scoring of teammate reviews integration project
Explained the different topics very well.
"
"E711 (in production branch)Nonlinear scoring for teammate reviews 
instructor setup: under ""review strategy"" tab
E712 (in master branch)Improvements to last year’s code-review project: instructor setup: check ""code submission is required"" in editing assignment view
student: ""code dashboard"" is visible, if click on it, directed to a page showing the different versions of codes.  
   then if click on the file submitted, it directed to a page showing code. and reviewer can comment on the code and reviewee can reply a comment.
E726 Extensions to self-manager and role-based reviewing: 
they created several migration files."</t>
  </si>
  <si>
    <t xml:space="preserve">Final project, Fall 2013_Team34 </t>
  </si>
  <si>
    <t>E908</t>
  </si>
  <si>
    <t>Integration &amp; testing A: Social bookmarking</t>
  </si>
  <si>
    <t>okdalvi amsonmal apnair acapte</t>
  </si>
  <si>
    <t>http://www.youtube.com/watch?v=V1KTIwPRonE
https://github.com/okdalvi/expertiza</t>
  </si>
  <si>
    <t>"Why is the help on custom rubric link at the top of the create-bookmark page?
There are simple links for viewing all bookmarks &amp; managing bookmarks.  Should be buttons (or icons).  [Have asked them to fix this.]
The textboxes for bookmark creation are probably too small.
Search functionality for tags doesn’t work.  The project didn’t have a commit history on git.  But now it does.
"
"1.Improved the UI to have display and add a bookmark links beside the signup sheet.
2.Rating the bookmark could not be implemented due to existing errors in Expertiza
3.New testcases were not added"
"URL text box size to be increased.
Title before URL in Add new bookmark page.
Good additional work done on merging some changes to make project work with master branch.
No new test cases, but thats fine considering amount of work they had to do.
Rating the tags couldn't be done because of some dependencies on questionnaires in master branch, so it was out of scope.
Very nice work, lot of significant changes, good design document."</t>
  </si>
  <si>
    <t xml:space="preserve">Final project, Fall 2013_Team35 </t>
  </si>
  <si>
    <t>E907</t>
  </si>
  <si>
    <t>Quizzing</t>
  </si>
  <si>
    <t>ctmille2 cmmcclen ghuang2 zwu5</t>
  </si>
  <si>
    <t xml:space="preserve">https://github.com/cececec/expertiza_h
https://docs.google.com/document/d/15E8N7D5_XVeGo2XRA4j0hzJ7Qhxu9XG6azfS6obrYmo/edit?usp=sharing
http://www.youtube.com/watch?v=EL51f0EpzGM
</t>
  </si>
  <si>
    <t>"“Create quiz” link shows up on submission page if the assignment is specified to ""Has quiz"".
Quiz page opens up w/blanks for the req’d. # of qq.
Specify which answers are correct for all but essay qq. (mult.-choice, checkbox, T/F)
There are also hints for each question; how do these work?  They appear automatically, like explanatory text in Google forms.
After you take a quiz, you get a “View” link to that quiz, which shows your score &amp; says whether or not essay qq. have been graded.  (Is this your functionality, or the functionality of a project you integrated?  Ditto for the other functionality.)
Instructor’s “Grade Essays” view has black text on red bkgrd., which is unreadable. (This may be against the law … not accessible to color-blind.)
We can hover over the “View quiz questions” icon on popup menu for an assgt.
        Instructors can see all quiz qq. created by students (each q. has a header saying who created it, but other than that, the qq. are not aggregated by creator.  Purpose is to let instructor select qq. to use elsewhere … but is there an export function?
I don’t think they show how essay qq. are graded; can they show us?
"
"1.instructor setup: check “Has Quiz” and set “number of Quiz Questions” in editing assignment view
2.student side setup: Create A Quiz in “Your work” view, 4 types of questions are supported
3.student taking quiz: will show quiz score and correct answer after taking a quiz, hints are always shown
4.Non-graded questions: will be graded by instructor(why not creator?)
5.instructor can view a quiz report
"
"UI for Instructor grading quiz to be improved, color specifically
Create quiz and one more testcase, not much testing done.
Lot of functionality added more than 100 commits.
Self select feature of quiz worked.
Good significant amount of work."</t>
  </si>
  <si>
    <t xml:space="preserve">Final project, Fall 2013_Team3 </t>
  </si>
  <si>
    <t>E906</t>
  </si>
  <si>
    <t>Rubric specialization</t>
  </si>
  <si>
    <t>agoel2 mrsreena npandey hwang32</t>
  </si>
  <si>
    <t xml:space="preserve">https://github.com/expertiza/expertiza/pull/378
http://youtu.be/LTjRcHq7V9M
</t>
  </si>
  <si>
    <t>"As soon as a question has been answered, it goes to the bottom of the list.  Questions are ordered in inverse order to the freq. w/which they have received text comments.
There is a formula that determines when a q. is not shown at all.  (currently the threshold is avg. + 2).  There is a new table, questions_count.  The formula is hardwired into the code.
You can't turn this off for an assignment!
Works for all kinds of rubrics (metareview, etc.)"
"The questions answered will be reordered to the bottom. After being answered for certain times, it will not show for the next reviewer.
First reviewer reviewed 3 questions, the second reviewer will see the questions answered by first reviewer go to the bottom of questionnaire. Basically the questions are sorted in reverse order. And there is a threshold for questions, if certain questions meet the threshold, it will not show up for the next reviewer, which is determined by a dynamic formula and it can be modified by instructor. "</t>
  </si>
  <si>
    <t xml:space="preserve">Final project, Fall 2013_Team28 </t>
  </si>
  <si>
    <t>E905</t>
  </si>
  <si>
    <t>Extend the Undo feature, last spring's E736</t>
  </si>
  <si>
    <t>prbhide srparadk aadesai2 vkhuran2</t>
  </si>
  <si>
    <t xml:space="preserve">http://152.7.99.56:9809/
http://youtu.be/5I4PLMxr9Xs
https://github.com/vineetakhurana/expertiza
https://github.com/expertiza/expertiza/pull/382
</t>
  </si>
  <si>
    <t>"undo and redo for creating an assignment/editing an assignment/creating a user/deleting single version table/deleting all version tables/
They also have undo functionality for adding participant/etc... they didn't show it in demo video because of the video length. 
 "
"Assignment creation-Undo/Redo
Editing an assignment-Undo/Redo
Creation of a new user-Undo/Redo
Versions table-Undo/Redo
"
"-Undo functionality works in the manage content page and edit assignment, user creation.
-manage version table is present
-Given what they were given to work with, they have done a good job."
"Undo &amp; redo messages should be in a different color (flash?)  Should be on confirmation flash, actually.
Undo changes to assignments &amp; users.
Versions table should have an (i) for “Information”
If you don’t want to delete all history, you need to click on each version?  There should be a way to delete a range!  [Not clear if they are going to do this.]
I have to see check the code to see how only the admin is allowed to edit versions table.
"</t>
  </si>
  <si>
    <t xml:space="preserve">Final project, Fall 2013_Team9 </t>
  </si>
  <si>
    <t>E904</t>
  </si>
  <si>
    <t>Extend last year's Integration with an LMS" project (E705)</t>
  </si>
  <si>
    <t>anish asaxena2 semani2</t>
  </si>
  <si>
    <t>https://app.box.com/s/9580xx5czsxwv986pu64</t>
  </si>
  <si>
    <t>"1.Course addition/deletion/update task working for both Expertiza and Moodle
2.Assignment addition/deletion/update task working for both Expertiza and Moodle 
"
"Tried to connect using TCP/IP socket.
Show Expertiza course in Moodle.
Show editing Expertiza course
Messages flashed should use flash messages.
Delete course on Expertiza; this deletes it from Moodle
Create assgts. on Expertiza, which should be reflected in Moodle.
"
"-Able to create new course, edit the course details, delete the course using Expertiza. These changes are reflected in Moodle. Only one way not from the other.
-They have called the restful interface of Moodle with XML data
-Added newly support for courses and assignments, and it works successfully.
-Not able to test the functionality of earlier project for grades since the code was not available."</t>
  </si>
  <si>
    <t xml:space="preserve">Final project, Fall 2013_Team12 </t>
  </si>
  <si>
    <t>E903</t>
  </si>
  <si>
    <t>Intelligent assignment of teams</t>
  </si>
  <si>
    <t>pyadav bvdhotre fameeta ysun6</t>
  </si>
  <si>
    <t>https://github.com/expertiza/expertiza/pull/379
https://www.youtube.com/watch?v=5lJZ9uZXTzI
https://docs.google.com/document/d/1XBp0VUp7jiupih998MPLkjzzDLVCdujvYf9IWQaUd9A/edit</t>
  </si>
  <si>
    <t>"Why are the textboxes so large; why are they not next to “Set priority”?  They understand; can they fix it?
I think that “waitlisted” is not a good choice here.  It should say “bid submitted for” or “pending”.
Is there a view that allows the instructor to see the priorities of the various students for each topic?  No.
Would be better if the intelligent topic assignment could be set to run at the signup deadline.  But then the instructor should be able to choose to accept or not accept the auto-assignment.
"
"-“Intelligent” assignment of teams
-Added a checkbox in create assignment for intelligent/fcfs algorithm.
-How can a student get second/third choice is not shown in the demo.
(If limited slots randomly picks a student who has selected first choice)
-Can assign same priority to 2 topics
-They have fixed some problems with signup sheet
-Cannot assign same priority to 2 projects and an error is displayed.
"
"feature setup: there is ""intelligent topic selection"" drop down in editing assignment page, choose yes
Create team first, because the lottery is based on a team(this might be a bug in master branch not their fault)
After student submit their preferences, run the algorithm through the icon in the pop up window (right beside sign up topic)
In the demo, all teams got topics in their first priority, but that is based on enough slots.  
"</t>
  </si>
  <si>
    <t xml:space="preserve">Final project, Fall 2013_Team23 </t>
  </si>
  <si>
    <t>E902</t>
  </si>
  <si>
    <t>Comprehensive automated testing of automated metareviewing</t>
  </si>
  <si>
    <t>E901</t>
  </si>
  <si>
    <t>Speed up automatic metareviewing</t>
  </si>
  <si>
    <t>2013 Fall OSS</t>
  </si>
  <si>
    <t>E816</t>
  </si>
  <si>
    <t>cmmcclen yhuang25 ysun6</t>
  </si>
  <si>
    <t xml:space="preserve">https://docs.google.com/a/ncsu.edu/document/d/1ewB2i141xuAsYfjcW6KvcsJR10YvtMJ6YF0A_ueOznQ/edit
</t>
  </si>
  <si>
    <t xml:space="preserve">OSS Project Team </t>
  </si>
  <si>
    <t>E815</t>
  </si>
  <si>
    <t>asaxena2 semani2 anish</t>
  </si>
  <si>
    <t>https://github.com/apek0729/expertiza/tree/wordnetsimilarity
http://152.46.19.59:3000/
http://wiki.expertiza.ncsu.edu/index.php/CSC/ECE_517_Fall_2013/oss_E815_saa</t>
  </si>
  <si>
    <t xml:space="preserve">OSS project, Fall 2013_Team17 </t>
  </si>
  <si>
    <t>E814</t>
  </si>
  <si>
    <t>vverma2 djkernic</t>
  </si>
  <si>
    <t>https://github.com/vermavikrant/expertiza
http://152.46.18.78:3000
http://wiki.expertiza.ncsu.edu/index.php/CSC/ECE_517_Fall_2013/oss_E814_vd</t>
  </si>
  <si>
    <t xml:space="preserve">OSS Team 99 </t>
  </si>
  <si>
    <t>E813</t>
  </si>
  <si>
    <t>vsharma4 skhare semhatr2</t>
  </si>
  <si>
    <t>http://152.1.13.240:3000/
http://152.46.18.21:3000
http://wiki.expertiza.ncsu.edu/index.php/CSC/ECE_517_Fall_2013/oss_ssv#Conclusion</t>
  </si>
  <si>
    <t xml:space="preserve">Paranoid </t>
  </si>
  <si>
    <t>E812</t>
  </si>
  <si>
    <t>fameeta mgupte pkadam</t>
  </si>
  <si>
    <t>http://152.7.99.90:5801/
https://github.com/guptemeghan/expertiza?source=c
http://wiki.expertiza.ncsu.edu/index.php/CSC/ECE_517_Fall_2013/oss_E812_amp</t>
  </si>
  <si>
    <t xml:space="preserve">OSS project, Fall 2013_Team7 </t>
  </si>
  <si>
    <t>E811</t>
  </si>
  <si>
    <t>pyadla hsure sagarn</t>
  </si>
  <si>
    <t>http://github.com/hsure/expertiza
http://152.1.13.219:3000/
http://wiki.expertiza.ncsu.edu/index.php/CSC/ECE_517_Fall_2013/oss_E811_syn</t>
  </si>
  <si>
    <t xml:space="preserve">OSS project, Fall,2013_Team2 </t>
  </si>
  <si>
    <t>E810</t>
  </si>
  <si>
    <t>abhutan sbhatt amadaan</t>
  </si>
  <si>
    <t xml:space="preserve">http://152.7.99.67:3000/
https://github.com/abhutan/expertiza-by-team-rails
http://152.1.13.184:3000
http://wiki.expertiza.ncsu.edu/index.php/CSC/ECE_517_Fall_2013/oss_E810_aas
http://152.7.99.160:3000
</t>
  </si>
  <si>
    <t xml:space="preserve">Team_On_Rails </t>
  </si>
  <si>
    <t>E809</t>
  </si>
  <si>
    <t>agoel2 pyadav aadesai2</t>
  </si>
  <si>
    <t>http://152.46.20.83:3000/
http://wiki.expertiza.ncsu.edu/index.php/CSC/ECE_517_Fall_2013/oss_paa
http://github.com/prateeky1407/expertiza</t>
  </si>
  <si>
    <t xml:space="preserve">OSS project, Fall 2013_Team9 </t>
  </si>
  <si>
    <t>E808</t>
  </si>
  <si>
    <t>vkhuran2 npari smairpa</t>
  </si>
  <si>
    <t xml:space="preserve">http://wiki.expertiza.ncsu.edu/index.php/CSC/ECE_517_Fall_2013/ch2_0e808_nsv
https://github.com/npari/expertiza_oss808
http://152.7.99.84:3000/
</t>
  </si>
  <si>
    <t xml:space="preserve">OSS project, Fall 2013_Team13 </t>
  </si>
  <si>
    <t>E807</t>
  </si>
  <si>
    <t>npandey ajain17 sandi</t>
  </si>
  <si>
    <t xml:space="preserve">http://152.7.99.128:3000/
http://wiki.expertiza.ncsu.edu/index.php/CSC/ECE_517_Fall_2013/oss_ans
https://github.com/nixtish/expertiza
http://152.7.99.43:3000/
</t>
  </si>
  <si>
    <t xml:space="preserve">OSS_NAS </t>
  </si>
  <si>
    <t>E806</t>
  </si>
  <si>
    <t>jtbangan vkara ljdmello</t>
  </si>
  <si>
    <t xml:space="preserve">Team Ruby </t>
  </si>
  <si>
    <t>E805</t>
  </si>
  <si>
    <t>knjhaver kjshah nahir</t>
  </si>
  <si>
    <t xml:space="preserve">http://152.46.19.82:3000/
</t>
  </si>
  <si>
    <t xml:space="preserve">UI Peckers </t>
  </si>
  <si>
    <t>E804</t>
  </si>
  <si>
    <t>prbhide srparadk bvdhotre</t>
  </si>
  <si>
    <t>http://152.46.18.94:9809
http://wiki.expertiza.ncsu.edu/index.php/CSC/ECE_517_Fall_2013/oss_E804_spb</t>
  </si>
  <si>
    <t xml:space="preserve">OSS project, Fall 2013_Team18 </t>
  </si>
  <si>
    <t>E803</t>
  </si>
  <si>
    <t>pupadhy2 sayenga sramesh3</t>
  </si>
  <si>
    <t>https://github.com/shubaajad/expertiza/tree/e803_oss
http://152.46.19.135:3000
http://wiki.expertiza.ncsu.edu/index.php/CSC/ECE_517_Fall_2013/oss_ssp</t>
  </si>
  <si>
    <t xml:space="preserve">OSS project, Fall 2013_Team36 </t>
  </si>
  <si>
    <t>E802</t>
  </si>
  <si>
    <t>jdmara sarora3 tarora</t>
  </si>
  <si>
    <t>https://github.com/mdjayaprakash/expertiza/tree/sign_up_sheet_controller
http://152.46.20.88:5800/</t>
  </si>
  <si>
    <t xml:space="preserve">OSS project, Fall 2013_Team24 </t>
  </si>
  <si>
    <t>E801</t>
  </si>
  <si>
    <t>vshesha nshubhy adkalant</t>
  </si>
  <si>
    <t>https://github.com/vshesha/expertiza/
http://wiki.expertiza.ncsu.edu/index.php/CSC/ECE_517_Fall_2013/oss_vna</t>
  </si>
  <si>
    <t xml:space="preserve">OSS project, Fall 2013_Team5 </t>
  </si>
  <si>
    <t>2013 Spring Final</t>
  </si>
  <si>
    <t>E736</t>
  </si>
  <si>
    <t>mcao2 kbyarbor twfolsom ctsui</t>
  </si>
  <si>
    <t xml:space="preserve">http://wiki.expertiza.ncsu.edu/index.php/CSC/ECE_517_Spring_2013/FINAL_PROJECT_E736_UNDO
https://github.com/expertiza/expertiza/pull/277
http://152.46.18.246:3000
http://wiki.expertiza.ncsu.edu/index.php/CSC/ECE_517_Spring_2013/FINAL_PROJECT_E736_UNDO_DELIVERABLE#E736._Undo_Functionality_for_Expertiza
http://www.youtube.com/watch?v=1DYS5InjBOk
</t>
  </si>
  <si>
    <t>"Used paper trail.
Undo and redo are both possible while creating a new course or editing an existing course.
Undo removal of a team.
Undo changes made to a review.
38 functionalities covered. 19 classes changed."
"add function to controllers and modules
timestamps and userid to group records
undo/redo on changing or adding course
considered  the situation that many user may change a course at the same time.
a table 'version' for redo/undo- find the most recent for undo/redo
undo can also handle one single change associated to multiple modules"
"Uses gem PaperTrail
Main undo code is in ApplicationController.
Overcame the pitfall of trying to undo sth. where an object was subsequently modified by another action.
  When you undo an import, what undoes the db changes?
""User meng already edited this item"" -- msg. should be changed.
No integration testing yet; what testing did they do?
Documentation doesn't say what classes were modified.
  Should describe what was done to each class.
  Also should list what can &amp; what cannot be undone.
What would be the challenges in undoing more than one operation in succession?
"</t>
  </si>
  <si>
    <t xml:space="preserve">Final project, Spring 2013_Team3 </t>
  </si>
  <si>
    <t>E735</t>
  </si>
  <si>
    <t>E734</t>
  </si>
  <si>
    <t>hliu11 cyang14 zwang18</t>
  </si>
  <si>
    <t xml:space="preserve">http://wiki.expertiza.ncsu.edu/index.php?title=CSC/ECE_517_Spring_2013/OSS_E734
http://www.youtube.com/watch?v=nGRxQtqaqOo&amp;list=PLqv3LmpyB8wB76ZZjKnHBGfYqSBBnVt81
</t>
  </si>
  <si>
    <t>"Bar graph comparison of courses.
Comparison of assignments.
Comparison of teams.
"
"Super-admin can see stats on any course; instructor can only see his own.
- Tell me what are the legends along the x-axis.  Why the underscores?
   (A lot of the labels need to be reworded.) ##
  And what's a comprehensive list of what you can graph.
[This looks like a vy. good project!]
They also have a video on how to set up the project [the Analytics project?]
 and how it is structured. [Could you play that?]
Main point of the project is to create a framework so you can incorp. more interesting comparisons.
Old project put most of functionality in Assignment class, which bloated it."
"Analytic: select graph type
select course/assignment/team
select course and data type
select check boxes and graph will update automatically"</t>
  </si>
  <si>
    <t xml:space="preserve">Final project, Spring 2013_Team6 </t>
  </si>
  <si>
    <t>E733</t>
  </si>
  <si>
    <t>E732</t>
  </si>
  <si>
    <t>E731</t>
  </si>
  <si>
    <t>E730</t>
  </si>
  <si>
    <t>usridha asridha2 nmanjun3 varjun2</t>
  </si>
  <si>
    <t xml:space="preserve">https://docs.google.com/a/ncsu.edu/file/d/0B9f1rXr7Vjq8NmtaVVFOMkJ0NTQ/edit
http://wiki.expertiza.ncsu.edu/index.php/CSC/ECE_517_Spring_2013/Final_Project_E730
https://github.com/ashrayn/expertiza/commits/e730-reputation
</t>
  </si>
  <si>
    <t>"UI changes
Made use of Hammer algorithm
calculate the distance to the grade
support collision detection - thats why they used later version of code"
"Reputation for reviewers using Hamer's algorithm.
Reviewer inaccuracy is calculated based on the review score and the current mean score.
"
"Ask how much they documented -- flow thru nested partials?
They did write up the path to run the code.  (Is that on the wiki?)
Impl. of Hamer's alg. should be checked.
Can you show us how you turn the reviewer weighting off?  Not implemented.
  And show how to disable a rogue review.
Explain the View Nesting diagram in your documentation.
"</t>
  </si>
  <si>
    <t xml:space="preserve">Final project, Spring 2013_Team5 </t>
  </si>
  <si>
    <t>E729</t>
  </si>
  <si>
    <t>E728</t>
  </si>
  <si>
    <t>sdkshirs arvaidya sgshingr pshegde</t>
  </si>
  <si>
    <t>http://wiki.expertiza.ncsu.edu/index.php/CSC/ECE_517_Spring_2013/Final_E728
http://youtu.be/LJefkciy_Gk</t>
  </si>
  <si>
    <t>"Not clear how the data is being populated.  There seem to be some bugs which data is displayed.
Currently, test reviews are hardcoded into review_tabular.  This needs to be changed, obviously.  Code needs to be written to fetch the real scores &amp; comments.
There may or may not be some code to see if a review is still valid.
Is there a way to see which version a review applies to?  Probably not, since David was working with source code that didn't include versioning.
Metareview feedback identification not included.
Code for generating HTML has been moved from model to partials, however.  Their project does not use model code to display reviews; however, there is still some code in the system that does (is it the Review Report that does?)."</t>
  </si>
  <si>
    <t xml:space="preserve">Final project, Spring 2013_Team1 </t>
  </si>
  <si>
    <t>E727</t>
  </si>
  <si>
    <t>E726</t>
  </si>
  <si>
    <t>E725</t>
  </si>
  <si>
    <t>E724</t>
  </si>
  <si>
    <t>E723</t>
  </si>
  <si>
    <t>E722</t>
  </si>
  <si>
    <t>E721</t>
  </si>
  <si>
    <t>E720</t>
  </si>
  <si>
    <t>E719</t>
  </si>
  <si>
    <t>E718</t>
  </si>
  <si>
    <t>E717</t>
  </si>
  <si>
    <t>E716</t>
  </si>
  <si>
    <t>ashray drhowar5 eblumpki mlhall3</t>
  </si>
  <si>
    <t>2013 Spring OSS</t>
  </si>
  <si>
    <t>E629</t>
  </si>
  <si>
    <t>cyang14 zwang18 japlemmo  Was: asheikh mganga skillam psivash2</t>
  </si>
  <si>
    <r>
      <rPr>
        <rFont val="arial,sans,sans-serif"/>
        <color rgb="FF1155CC"/>
        <u/>
      </rPr>
      <t>http://wiki.expertiza.ncsu.edu/index.php/CSC/ECE_517_Spring_2013/OSS_E629</t>
    </r>
    <r>
      <rPr>
        <rFont val="arial,sans,sans-serif"/>
      </rPr>
      <t xml:space="preserve">
http://commondatastorage.googleapis.com/silverwzw/expertiza-json.7z
http://commondatastorage.googleapis.com/silverwzw/expertiza-json.zip
http://152.1.13.206:3000/
http://screencastle.com/watch/2afd3f94861e6c84348c191d8c19b441</t>
    </r>
  </si>
  <si>
    <t>E612B</t>
  </si>
  <si>
    <t>No choosers  Was: aabhole ssengup mmsatark mptapasw</t>
  </si>
  <si>
    <t>E608</t>
  </si>
  <si>
    <t>kbyarbor mcao2 hliu11  Was: dshuffma dcpratt</t>
  </si>
  <si>
    <t>https://github.com/expertiza/expertiza/pull/262
http://wiki.expertiza.ncsu.edu/index.php/CSC/ECE_517_Spring_2013/OSS_E608
http://www.youtube.com/watch?v=KFHoEB2CEqM
http://152.7.99.190:3000
https://github.com/expertiza/expertiza/pull/263</t>
  </si>
  <si>
    <t>E605B</t>
  </si>
  <si>
    <t>twfolsom ctsui jrwills2  Was: rbyredd spangul mprabha bnshah</t>
  </si>
  <si>
    <t>http://wiki.expertiza.ncsu.edu/index.php/CSC/ECE_517_Spring_2013/OSS_E605B 
http://www.youtube.com/watch?v=azb26l3PzP8
https://github.com/chunsingtsui/expertiza</t>
  </si>
  <si>
    <t>E605A</t>
  </si>
  <si>
    <t>drhowar5 mlhall3 eblumpki  Was: apawar2 rbettad drai ssivaku4</t>
  </si>
  <si>
    <t>https://github.com/expertiza/expertiza/pull/260
http://youtu.be/XZzKb_PM07A
http://wiki.expertiza.ncsu.edu/index.php/CSC/ECE_517_Spring_2013/OSS_E605A
Histo</t>
  </si>
  <si>
    <t>E600</t>
  </si>
  <si>
    <t>dshuffma dcpratt  Was: nloya oabedark sparnan scanjee</t>
  </si>
  <si>
    <r>
      <rPr>
        <rFont val="arial,sans,sans-serif"/>
        <color rgb="FF1155CC"/>
        <u/>
      </rPr>
      <t>http://wiki.expertiza.ncsu.edu/index.php/CSC/ECE_517_Spring_2013/OSS_E600</t>
    </r>
    <r>
      <rPr>
        <rFont val="arial,sans,sans-serif"/>
      </rPr>
      <t xml:space="preserve">
https://www.youtube.com/watch?v=r29BdG-EV4A</t>
    </r>
  </si>
  <si>
    <t>2012 Fall Final</t>
  </si>
  <si>
    <t>E-mail notification for synchronous events</t>
  </si>
  <si>
    <t>sbagga adave tksenapa crbarile</t>
  </si>
  <si>
    <t>https://github.com/expertiza/expertiza/pull/239</t>
  </si>
  <si>
    <t>Fixed 10 of 38 failing tests.  Some of those that don't work don't work because of apparent problems w/Capybara finding elements on the Web page.  Capybara can't work with Javascript.  Couldn't find a soln. on the Web.  Instead of Capybara, you might be able to use Rspec.
"-fixed 9 failing tests out of 37
-modified seeds.rb and step definitions to correct the authentication related issues which were making the test cases to fail"</t>
  </si>
  <si>
    <t>smahish smohana schandr9 sjayash</t>
  </si>
  <si>
    <t>https://github.com/aakashdave11/expertiza.git
https://github.com/chrisb1609/expertiza---E725
http://www.screencast.com/t/wzoepwSj</t>
  </si>
  <si>
    <t xml:space="preserve">Final projects, Fall 2012_Team49 </t>
  </si>
  <si>
    <t>mjoseph dthomas aasokna schand10</t>
  </si>
  <si>
    <t>https://github.com/smahish/E724
https://www.dropbox.com/s/5d2ic0ifwgvcj31/FinalVideo.mpeg</t>
  </si>
  <si>
    <t>"  They made assgt. creation &amp; editing use common code.
    Had to refactor assignment_controller(?)
    Deadlines were sorted in chronological order, &amp; the code was kludged to do that.
  They fixed the pathname for submission directory.
  Made reminders always in multiples of 8 hrs.
  Element IDs &amp; logic to render view was using completely diff. IDs.  Explain.
"
"Refactoring of the assignment_controller - edit and update methods.
Bug fixes - Drop down on the assignments create/edit page (thresholds for reminders)
Changes made to "</t>
  </si>
  <si>
    <t xml:space="preserve">Final projects, Fall 2012_Team76 </t>
  </si>
  <si>
    <t>ikjaishw aakkurr pgjalisa sshenoy</t>
  </si>
  <si>
    <t>https://github.com/chelseaarjun/expertiza.git
https://github.com/davisth48/Expertiza_project_E723.git
http://www.youtube.com/watch?v=2TTwPbcxqEU&amp;feature=youtu.be</t>
  </si>
  <si>
    <t>"Students 2 &amp; 3 review Student 1
Scores are still valid
After deadline, average is changed to 0 because both review are invalid.  [This is wrong; it should be ""----"".]
[Not in video] Deletion of submitted links.
 There is only one delete button, &amp; radio buttons to select a link.  They say this is the way that file deletion works, but it should be fixed to use multiple buttons."</t>
  </si>
  <si>
    <t xml:space="preserve">Final projects, Fall 2012_Team30 </t>
  </si>
  <si>
    <t>vkhuran abhagav cvarada sbhatta9</t>
  </si>
  <si>
    <t>http://www.youtube.com/watch?v=bvEk7yzCpDs</t>
  </si>
  <si>
    <t>"* Showed interaction review rubric
* Showed students entering interaction reports and confirming them"
"They should reverse ""Score cap"" and ""Extra credit"" in the display, &amp; add a ""%"" to Score cap.
A box to select Interaction rubric needs to be added; right now it is hardcoded from db! %#%"</t>
  </si>
  <si>
    <t xml:space="preserve">Final projects, Fall 2012_Team22 </t>
  </si>
  <si>
    <t>nvenkat msudhee asthirth sharat</t>
  </si>
  <si>
    <t>https://github.com/shoubhik/expertiza</t>
  </si>
  <si>
    <t>"* Microtasks are available and have micropayments
* Team can have max size of 1 (can remove individual users)
* Showed new sign-up sheet
"
"Merged E204 (remove individ. assgts.), E209 (refactor signup code) , E301 (microtasks &amp; microcontrollers)
They show that an individ. assgt. shows max of 1 per team, when they change type to team assgt.
  But the # per team is 2 boxes below the the ""Team assgt."" box; they say that's the way the code was when they got it.
 It shouldn't show ""Your team"" when they change the max back to 1, but it does.
  It didn't show it in the video, though, they say.  (This must be a bug.)
   Actually, in the video, it shows changing from individ. to team assgt.; ""Your team"" does not show up before, but it does afterwards.
    They don't show changing from a team to an individ. assgt.
    You would need to insert code to check whether there's a team of &gt; 1 person before you could change it back to an individ. assgt.
 E209 evid. fixed the bug that an error screen shows up when you change the # of slots."</t>
  </si>
  <si>
    <t xml:space="preserve">Final projects, Fall 2012_Team29 </t>
  </si>
  <si>
    <t>agarg5 avranade araghur2 rkandha</t>
  </si>
  <si>
    <r>
      <rPr>
        <rFont val="arial,sans,sans-serif"/>
        <color rgb="FF1155CC"/>
        <u/>
      </rPr>
      <t>http://www.youtube.com/watch?v=QIwF1O-iOH0&amp;feature=youtu.be</t>
    </r>
    <r>
      <rPr>
        <rFont val="arial,sans,sans-serif"/>
      </rPr>
      <t xml:space="preserve">
https://github.com/sgurinder/expertiza</t>
    </r>
  </si>
  <si>
    <t>"Merged E607A, E607B, E610, E614
They show that functionality works, &amp; that all tests pass.
"
"1. e607a refactoring- for assignment-how to submit, review submission(add score for each rubric ), display score for reviewed submission, display review-report (all the reviews) 
2. e608b: test 
3. e610
4.e614: cucumber test
5. around 60 tests in total
"</t>
  </si>
  <si>
    <t xml:space="preserve">Final projects, Fall 2012_Team21 </t>
  </si>
  <si>
    <t>hpkancha vmunuku gpinnad</t>
  </si>
  <si>
    <t xml:space="preserve">http://screencast-o-matic.com/watch/cllQ0JVhQ2
https://github.com/nvenkat/E718
</t>
  </si>
  <si>
    <t>"Game frontend developed in Javascript.
JSON goes from E407 to game frontend.
Added 2 cols. to assignments table to specify the XP &amp; ?
Now all assignments need to specify an assignment group.
You see XP appearing in a box at the top of the frontend."
"-grading by 'experience points'
-front end and backend (E407) integration
-json from backend is passed to front end
-allow admin to specify the assignment groups and experience points per assigment (assignment group and assignment XP - new fields on the assignment creation page)
-some bugs are fixed
 "</t>
  </si>
  <si>
    <t xml:space="preserve">Final projects, Fall 2012_Team36 </t>
  </si>
  <si>
    <t>http://dl.dropbox.com/u/54491396/expertiza%20-%20E719%20Final%20code.rar
https://github.com/rohitkandhal/expertiza
http://www.screencast.com/t/XFyCQaNoBHlj
https://github.com/agarg5/expertiza.git</t>
  </si>
  <si>
    <t>" Pull request &amp; docs should be in Expertiza, not just video.
   Ugly background colors.
   What's in the table headed ""Questions""?  It's not clear.
   Why do students who haven't participated even show up?  You mean that they're participants who haven't done anything?
  The ""360-degree assessment dashboard""--when does that show up?
  Data aggregated looks good, tho.
The 360-degree link at the bottom should be replaced by an icon on popup Courses menu
Each student's contributions can be found via a link from the Participants table.
  This display seems to be useful.
 The green circle only means that a student has completed all SELECTED reviews, not all that were required (there's no way to tell how many reviews are req'd.)
"
"1. A dashboard to see the progress of the feedback  from different sources.
2. A quick way to see percentage of reviews of all kinds done by an individual, of team, or any other grouping."</t>
  </si>
  <si>
    <t xml:space="preserve">Final projects, Fall 2012_Team53 </t>
  </si>
  <si>
    <t>karthi2 rchakar akoradh mauti</t>
  </si>
  <si>
    <t>http://www.youtube.com/watch?v=qPr7xdgcMPU&amp;feature=youtu.be</t>
  </si>
  <si>
    <t>" They have MC, TF, essay, or checkbox questions.  (MC checked --&gt; checkbox)
 Correct answers should also be checkboxes -- or better, %s.
   They just used the code from last year, which used the standard rubric-creation functionality
 Ask them more about workflow  ... how do you associate a quiz w/an assgt. or topic, etc.
 They have ""rate difficulty of question,"" but why not a whole rubric?
   That can be an extension.
  (I can see that the process of rating &amp; vetting qq. could be crowdsourced! %#%)
A new kind of deadline--quiz deadline
Instructor can give the ""correct"" answer for an essay q., but needs to visually inspect whether the answer matches the ""correct"" answer.
"</t>
  </si>
  <si>
    <t xml:space="preserve">Final projects, Fall 2012_Team14 </t>
  </si>
  <si>
    <t>E715</t>
  </si>
  <si>
    <t>mstonse knagar smbuch atripat</t>
  </si>
  <si>
    <t>https://docs.google.com/a/ncsu.edu/document/d/1AgIjefLXK4JF3h0Z35G_gx_8kIKOnA4fksFsaDyrC_Y/edit
http://youtu.be/-U_FlEGW1ts</t>
  </si>
  <si>
    <t xml:space="preserve">
"Dashboard display containing tables/charts of cumulative class/assignment grades.
Average class scores, number of reviews, metareviews completed."</t>
  </si>
  <si>
    <t xml:space="preserve">Final projects, Fall 2012_Team5 </t>
  </si>
  <si>
    <t>E714</t>
  </si>
  <si>
    <t>mmurali2 vpadman2 achandr6 narumug4</t>
  </si>
  <si>
    <t xml:space="preserve">https://github.com/csc517/expertiza-1
http://youtu.be/hq7C9QpNVI0
</t>
  </si>
  <si>
    <t>" Looks a lot like 360-degree assessment; what's the diff.?
  They added total review size, and the five columns on the right (PR, FR, TMR, MR, TR), added ""consolidated review progress of all assgts."" graph.
  PR = Participant reviews; TR = Team reviews.  You get PR or TR but not both.
 Shows you when reviews came in for each diff. assgt.
 (What would happen w/staggered-deadline assgts.?)
"
"-consolidated statistics are shown like assigned reviews, pending reviews, completed reviews, teammate reviews etc.
-added one graph which superimposes the review progress graph of different assignments
"
360 degree assessment that accumulates feedback and provides analysis.
"column graph
pie graph
add all he column
fixing bugs"</t>
  </si>
  <si>
    <t xml:space="preserve">Final projects, Fall 2012_Team27 </t>
  </si>
  <si>
    <t>E713</t>
  </si>
  <si>
    <t>ssingh13 hgupta2 dmcarmon mrkamat</t>
  </si>
  <si>
    <t>http://www.youtube.com/watch?v=OMMECC8lYXQ</t>
  </si>
  <si>
    <t>"Added an autocomplete facility
Refactored the existing code
The second column of textboxes is for parameters, but you need to read the wiki documentation to find what they are for.  (That said, they do provide a link to the documentation, though it is easy to miss.  I ask them to put it at the top of the page.  Adam also created a video &amp; they will link to that.)
Now you can import text to create custom rubrics.
"
"-autocomplete feature for a question in questionnaire
-new question is added to the database and next time it is predicted properly
-import questionnaire using csv functionality now works (previous questions are lost) "</t>
  </si>
  <si>
    <t xml:space="preserve">Final projects, Fall 2012_Team84 </t>
  </si>
  <si>
    <t>E712</t>
  </si>
  <si>
    <t>annice vrkhamke mschaudh nmsarda</t>
  </si>
  <si>
    <t>http://www.youtube.com/watch?v=MiOE-bqrjLA&amp;feature=youtu.be
https://github.com/vpadman2/Expertiza-360-Degree-Assessment-Visualization/</t>
  </si>
  <si>
    <t>" They fixed 4 items.
  Code-review dashboard appearing on every page.
    (The question, Does the assgt. require code submission?  is too long, should be more concise)
  Allow comments to apply to mult. lines.
  Upload non-zip files
   If it's a zip file, it's unzipped, but not otherwise.
  Author should be able to respond to reviewers' comments.
  Unfort., the comments obscure the code, as the window turns to black when a comment box is brought up.  They say that this could be fixed, but then a user might try to bring up an addn'l. comment before closing the 1st, which might not work.
"
"Code review dashboard removed from projects which do not require code review. Handled using a field associated with the assignment.
Code submission versions are indicated. The students can submit non-zip files as well. 
Reviewer can associate a comment with multiple lines of code rather than just one like before.
Author can reply to the comments made by reviewers.
"</t>
  </si>
  <si>
    <t xml:space="preserve">Final projects, Fall 2012_Team6 </t>
  </si>
  <si>
    <t>E711</t>
  </si>
  <si>
    <t>pamberk aadharka vgupta6 ssasidh</t>
  </si>
  <si>
    <t>http://www.screencast.com/t/19zu57crAj4
https://github.com/dmcarmon/expertiza_final</t>
  </si>
  <si>
    <t>Added a spyglass icon to the Courses menu to bring up aggregated teammate &amp; metarveiews for a whole sem.
"1. Provide an intuitive UI to decide and choose the “Threshold” and “redistribution factor” to the instructor.
2. Weigh teammate and meta-reviews separately bearing individual contribution in mind.
3. Calculate the cumulative team score using the peer reviews and meta-reviews.
4. Calculate individual contribution using teammate reviews.
5. Apply the proposed algorithm to calculate the overall individual score based on team-mate and meta-reviews."</t>
  </si>
  <si>
    <t xml:space="preserve">Final projects, Fall 2012_Team4 </t>
  </si>
  <si>
    <t>E710</t>
  </si>
  <si>
    <t>avyas2 psingha rsrivas5 ggsingh</t>
  </si>
  <si>
    <t>http://github.com/avyas2/Expertiza_CSC517_E710_Social_Bookmarking
http://www.youtube.com/watch?v=y15Rlv-cZEs&amp;feature=g-hist</t>
  </si>
  <si>
    <t>" Added a ""bookmarkrating"" questionnaire type [should be made 2 words]
  They made the bookmark URLs clickable; they weren't before.
 Bookmarks are taggable by so. who doesn't own the bookmark, as well as those who do.
 You can ""Manage bookmarks""
 A header says ""Rate Bookmark using the Questionnaire""  This is too detailed!
 Haven't been able to integrate the weight-adding feature w/the submission of the response.
"
"Allowing students to suggest links for topics on the signup sheet.
Students can access these links and rate the bookmarks.
URL's have been made clickable now (was not the case before).
Bookmarks are taggable by non-owners now.
"</t>
  </si>
  <si>
    <t xml:space="preserve">Final projects, Fall 2012_Team15 </t>
  </si>
  <si>
    <t>E709</t>
  </si>
  <si>
    <t>schakra8 sholla sasthan3 sbkottan</t>
  </si>
  <si>
    <t xml:space="preserve">http://www.youtube.com/watch?v=8TlWNbIqmVs&amp;feature=youtu.be
https://github.com/Samarthasthana/expertiza.git
</t>
  </si>
  <si>
    <t>" Assignment becomes visible at a certain time.
 Team-formation deadline enforced.
 New fct., Manage Assignments, in assgts. dropdown (change name to ""Drop teams"")
 Drop teams 
   An ""admin"" (instructor?) can drop teams if nec.
   But, since all you can do is drop teams, I think that'd be a better name.
   Can you schedule teams to be dropped when deadline passes?
     (They could make this change.)
     Their code drops a team even if there is no one else waiting for the topic.
 Merge teams for assgts.
  You can merge teams before or after the ""TFD"".
   Teams can invite each other to merge (but they are not merged automatically)
   (How will this integrate w/sending requests to individual?)
   It also depends in some way upon which teams have topics.
    If one team has a topic &amp; the other team doesn't, the merged team gets the topic.
    (It would be good to do individual invitations the same way.)
      Project for next time: Regularize team mgt. across invitations %#%
"
"-added signup availability time and team formation deadline to assignment creation page
-instructor can manually drop the teams after sign up deadline has passed and then mail is sent to the waitlisted users
-requests can be sent to merge teams by one team to another if some condition is satisfied
"
"Specifying sign up sheet availability date and time during assignment creation.
Specifying team formation deadline during assignment creation. Used to drop the teams that don't have enough members on the team within the deadline.
"
"assignment visibility at particular time
-changed DB
-new type of deadline added
-stop sign up sheet from showing if the time is not right
team formation deadline
UI to manage assignments
-new icon
Drop team
-kick the teams which do not have enough people
Drop waiting list
Merge team
-after team merged, everything will lost
4 new DB migrations"</t>
  </si>
  <si>
    <t xml:space="preserve">Final projects, Fall 2012_Team1 </t>
  </si>
  <si>
    <t>E708</t>
  </si>
  <si>
    <t>cssuich defranks pmocampo apsherid</t>
  </si>
  <si>
    <r>
      <rPr>
        <rFont val="arial,sans,sans-serif"/>
      </rPr>
      <t xml:space="preserve">https://docs.google.com/document/d/1tyWX8njxDLvYpN7wJf5hjA6lnWbzQRP9vUKGxxRjRzo/edit#heading=h.5cgh9aixuut7
</t>
    </r>
    <r>
      <rPr>
        <rFont val="arial,sans,sans-serif"/>
        <color rgb="FF1155CC"/>
        <u/>
      </rPr>
      <t>https://docs.google.com/document/d/1MjQ-XN7UBQGleTWJHNnME8raPcvim2oHEUM4m40bprQ/edit#heading=h.5cgh9aixuut7</t>
    </r>
    <r>
      <rPr>
        <rFont val="arial,sans,sans-serif"/>
      </rPr>
      <t xml:space="preserve">
https://github.com/theszucs/expertiza/tree/lottery_topic_selection
http://www.youtube.com/my_videos_edit?ns=1&amp;video_id=OPGtKU3-9yQ
http://youtu.be/OPGtKU3-9yQ
http://youtu.be/W-Q7IXmQcQw</t>
    </r>
  </si>
  <si>
    <t>"Bidding (only 1 team)
Running lottery (redirected, evid., to the wrong place, but could be fixed easily)
Not seen: After lottery is run, students can choose remaining topics FCFS."
"Lottery option for the sign-up sheet.
With random selection based on the number of members in the team. 
Handles cases where max_choosers &gt; 1, with aim to get as many people on the topic as possible."</t>
  </si>
  <si>
    <t xml:space="preserve">Final projects, Fall 2012_Team2 </t>
  </si>
  <si>
    <t>E707</t>
  </si>
  <si>
    <t>bsampat2 pvasude rnedunc yliu63</t>
  </si>
  <si>
    <t>https://github.com/premprakash90/expertiza.git
http://screencastle.com/watch/d60d8058a8df12de65b8df2d9d2020f9</t>
  </si>
  <si>
    <t>" Most recent course is at the top; all assgts. in all courses are expanded.
  There is a variable in the code that controls how many courses are expanded.
 Assignments are displayed in decreasing submission date, not in the order they\
 were created.
 Rubrics can be displayed by creation date, or by date of last update.
  You choose with a radio button, not by clicking column headings."
"-assignments are listed by course
-expanding courses expands all the assignment for each course, can limit how many assignments for each course are extended at a time if not all need to be expanded
-assignments are now ordered according to the submission dates
-questionnaires can be ordered according to the creation date or according to the update date "
"Improved display for assignments. Courses are listed with most recent at the top. All of them are expanded with an option to change how many should be expanded (in the code).
Assignments listed in order of submission deadlines, latest first.
Rubrics listed in order or creation dates or updated dates (can be chosen by instructor) most recent first.
 "
"course order
assignment display on submission 
review rubric: order in used date (have checkboxes)
java script function has been changed for course nodes"</t>
  </si>
  <si>
    <t xml:space="preserve">Final projects, Fall 2012_Team77 </t>
  </si>
  <si>
    <t>E706</t>
  </si>
  <si>
    <t>pvasude yliu63</t>
  </si>
  <si>
    <t xml:space="preserve">Final projects, Fall 2012_Team85 </t>
  </si>
  <si>
    <t>E705</t>
  </si>
  <si>
    <t>ysong8 pwu6 bijohnso</t>
  </si>
  <si>
    <t>" Shows integration w/Moodle
 Config file; makes up XML sockets
 On the Moodle side, they have another Ruby projects to receive sockets.
  Parse XML, to put it into Moodle db.  (Needs to understand the structure of Moodle's data tables.)
 Glue files are used to integrate w/diff. LMSs w/o having to overhaul the codebase.
 Expertiza makes up XML msg. &amp; sends it to Moodle.
  When instructor assigns a grade in Expertiza, a message is constructed.
When deadline is updated, another msg. is created to update it in Moodle (this is done w/o human intervention.
Expertiza sends deadlines to Moodle; it sends multiple deadlines, &amp; Moodle will consider them to be 3 diff. assgts."
"-when an assignment is created in expertiza, that assignment as well as the deadlines are created in moodle
-grades are automatically updated to moodle
-any changes to deadlines are automatically updated to moodle"
"Integration of expertiza with an LMS. Grade and notification integration. Login capabilities. 
All the information received from expertiza is stored in a buffer before the Moodle DB is updated. It is updated only after a set of data is received. "</t>
  </si>
  <si>
    <t xml:space="preserve">Final projects, Fall 2012_Team66 </t>
  </si>
  <si>
    <t>E704</t>
  </si>
  <si>
    <t>pmpereir srmale skanaka sren</t>
  </si>
  <si>
    <t>https://github.com/prashanthpereira/expertiza.git
https://github.com/prashanthpereira/expertiza-FINAL.git</t>
  </si>
  <si>
    <t>"Tabs are General, Rubrics, Review Strategy, Deadlines, Participants, Teams
 It has hierarchical tabs; e, g. Teams has its own tabs.
Profile tabs are General, Preferences, Handle, Notifications
"
Tabbed views are provided in expertiza for assignment creation, editing and for a user's profile page when viewed by admin.</t>
  </si>
  <si>
    <t xml:space="preserve">Final projects, Fall 2012_Team9 </t>
  </si>
  <si>
    <t>E703</t>
  </si>
  <si>
    <t>amendir2 npatowa ssinha3 avsarang</t>
  </si>
  <si>
    <t>http://www.screencast.com/t/0OE73S8sH
http://www.screencast.com/t/WUVLEuP5gdC
https://github.com/ssinha3/E703_Date_time_functionality.git</t>
  </si>
  <si>
    <t>"* Time zones in Expertiza
* DST
* New Users have the time zone of their parent"
"Time zones--how they appear, how they are set by user
Time-zone preference is at the bottom of the user's profile page.
Import users w/specific time zones."</t>
  </si>
  <si>
    <t xml:space="preserve">Final projects, Fall 2012_Team3 </t>
  </si>
  <si>
    <t>E702</t>
  </si>
  <si>
    <t>sanarsal jdmehta rjagird pvthakka</t>
  </si>
  <si>
    <t>https://github.com/pvthakka/expertiza/
http://youtu.be/JTzkKZfxbq0</t>
  </si>
  <si>
    <t>"Like E721, they also merged E301 into current Expertiza.
Provided a way to give weights for assignments &amp; microtasks.
When you create the assignment, it seeds it with one microtask, worth 70.
They added an option to the popup menu to specify weights for extra reviews.
A new popup-menu option on the course menu for calculating extra credit, but the icon is the same as the 360-degree assessment."
"-merged E301
-a default topic is created for microtask assignment in signup sheet
-new icon is added in the assignment options clicking on which takes to a page where the instructor can specify the minimum number of reviews and metareviews required and the points for extra reviews and metarevies as well as 
-new icon is added in the course options clicking on which takes to a page which shows the voluntary work report"</t>
  </si>
  <si>
    <t xml:space="preserve">Final projects, Fall 2012_Team38 </t>
  </si>
  <si>
    <t>E701</t>
  </si>
  <si>
    <t>jvshanbh vcorrei rkosana ssubram8</t>
  </si>
  <si>
    <t>https://github.com/swathi9488/ExpertizaWorkFlowEventList
http://www.screencast.com/t/6KYvD1ha3at</t>
  </si>
  <si>
    <t>"Starting DelayedJob gem ... done by a rake command shown in demo.
Showed specifying a notification interval.
The text of e-mail is in the code, can be customized for specific messages.
Added code to allow submission only, or review only, of assignments, adding functionality to the participants table."
"Used delayed job gem.
Handled for review, meta-review, feedback, submission, re-submission, drop-topic, team formation deadlines.
Mails are being sent to correct participants.
Handled update/change in deadline times.
"
"-send notifications to users for upcoming deadlines
-while creating assignment, the instructor can specify the hours before the deadline the notification should be sent
-if the assignment is deleted, all jobs are cancelled
-if the deadline is extended, the users are notified again
-all times are converted to UTC before scheduling jobs"</t>
  </si>
  <si>
    <t xml:space="preserve">Final projects, Fall 2012_Team8 </t>
  </si>
  <si>
    <t>2012 Fall OSS</t>
  </si>
  <si>
    <t>E627</t>
  </si>
  <si>
    <t>cssuich agarg5 rkandha</t>
  </si>
  <si>
    <t xml:space="preserve">http://152.46.17.12:3000
http://courses.ncsu.edu/csc517/common/homework/OSS/E626/design_doc.pdf
http://courses.ncsu.edu/csc517/common/homework/OSS/E626/Final_project.pdf
</t>
  </si>
  <si>
    <t xml:space="preserve">OSS projects, Fall 2012_Team85 </t>
  </si>
  <si>
    <t>E626</t>
  </si>
  <si>
    <t>arvaidya aadharka pamberk</t>
  </si>
  <si>
    <t>http://152.7.98.84:3000/
https://github.com/pamberk/expertiza</t>
  </si>
  <si>
    <t xml:space="preserve">arvaidya </t>
  </si>
  <si>
    <t>E625</t>
  </si>
  <si>
    <t>nloya scanjee sparnan</t>
  </si>
  <si>
    <t xml:space="preserve">http://152.1.13.160:3000
https://github.com/nloya/Expertiza_E625
https://github.com/ckshankar02/Expertiza_E625_resubmission
</t>
  </si>
  <si>
    <t xml:space="preserve">OSS projects, Fall 2012_Team41 </t>
  </si>
  <si>
    <t>E624</t>
  </si>
  <si>
    <t>pmpereir dthomas schand10</t>
  </si>
  <si>
    <t>- git://github.com/prashanthpereira/Expertiza-project.git
https://github.com/prashanthpereira/Expertiza-project
http://152.46.19.158:3000
http://152.46.19.195:3000/</t>
  </si>
  <si>
    <t xml:space="preserve">OSS projects, Fall 2012_Team80 </t>
  </si>
  <si>
    <t>E623</t>
  </si>
  <si>
    <t>bsampat2 rnedunc vpadman2</t>
  </si>
  <si>
    <t xml:space="preserve">https://github.com/BharathSampath/Expertiza---performance-improvement
http://152.46.16.200:3000/
</t>
  </si>
  <si>
    <t xml:space="preserve">OSS projects, Fall 2012_Team20 </t>
  </si>
  <si>
    <t>E622</t>
  </si>
  <si>
    <t>schakra8 sholla sasthan3</t>
  </si>
  <si>
    <t>http://152.7.98.76:3000/
https://github.com/Samarthasthana/ExpertizaE622</t>
  </si>
  <si>
    <t xml:space="preserve">OSS projects, Fall 2012_Team63 </t>
  </si>
  <si>
    <t>E621</t>
  </si>
  <si>
    <t>karthi2 nmanjun3 schandr9</t>
  </si>
  <si>
    <t>https://github.com/nishitam/Experiza-OSS-E621.git</t>
  </si>
  <si>
    <t xml:space="preserve">OSS projects, Fall 2012_Team71 </t>
  </si>
  <si>
    <t>E620B</t>
  </si>
  <si>
    <t>tksenapa crbarile aasawa</t>
  </si>
  <si>
    <t xml:space="preserve">https://github.com/tksrules/expertiza.git
</t>
  </si>
  <si>
    <t xml:space="preserve">OSS projects, Fall 2012_Team74 </t>
  </si>
  <si>
    <t>E620A</t>
  </si>
  <si>
    <t>yliu63 sren ysong8</t>
  </si>
  <si>
    <t>https://github.com/bjtlyc/expertiza
http://152.1.13.147:8080/</t>
  </si>
  <si>
    <t xml:space="preserve">OSS projects, Fall 2012_Team31 </t>
  </si>
  <si>
    <t>E619B</t>
  </si>
  <si>
    <t>mmsatark aabhole sbhatta9</t>
  </si>
  <si>
    <t>http://152.46.16.140:3000
https://github.com/shoubhik/ExpertizaE619B-</t>
  </si>
  <si>
    <t xml:space="preserve">OSS projects, Fall 2012_Team6 </t>
  </si>
  <si>
    <t>E619A</t>
  </si>
  <si>
    <t>pmocampo jtcole2 mmurali2</t>
  </si>
  <si>
    <t>https://github.com/pamo/expertiza
http://152.46.18.99
http://152.46.18.99:3000/</t>
  </si>
  <si>
    <t xml:space="preserve">OSS projects, Fall 2012_Team49 </t>
  </si>
  <si>
    <t>E618B</t>
  </si>
  <si>
    <t>abhagav mganga atripat</t>
  </si>
  <si>
    <t>https://github.com/manjunath-ganga/Expertiza
http://152.7.98.37:3000/</t>
  </si>
  <si>
    <t>E618A</t>
  </si>
  <si>
    <t>rchakar nartal sharat</t>
  </si>
  <si>
    <t xml:space="preserve">https://github.com/rakeshcm/OOLS_projects/tree/master/expertiza_OOS_618A_project2
http://152.1.13.158
http://152.1.13.158:3000
</t>
  </si>
  <si>
    <t xml:space="preserve">OSS projects, Fall 2012_Team62 </t>
  </si>
  <si>
    <t>E617</t>
  </si>
  <si>
    <t>asridha2 varjun2 usridha</t>
  </si>
  <si>
    <t>https://github.com/aiswaryasridharan/Expertiza
http://152.46.19.20:3000
http://152.46.18.9:3000/</t>
  </si>
  <si>
    <t xml:space="preserve">The Resplendent Ruby Rascals </t>
  </si>
  <si>
    <t>E616</t>
  </si>
  <si>
    <t>aakkurr achandr6 rsrivas5</t>
  </si>
  <si>
    <t xml:space="preserve">https://github.com/aswin89thee/expertiza
http://152.46.20.53:3000/
</t>
  </si>
  <si>
    <t xml:space="preserve">ools_oss_2 </t>
  </si>
  <si>
    <t>E615</t>
  </si>
  <si>
    <t>vkhuran ssengup drai</t>
  </si>
  <si>
    <t>http://152.46.20.17:3000</t>
  </si>
  <si>
    <t xml:space="preserve">DSV </t>
  </si>
  <si>
    <t>E614</t>
  </si>
  <si>
    <t>nmsarda sanarsal npatowa</t>
  </si>
  <si>
    <t>http://152.46.20.215:3000/
https://github.com/san2488/expertiza</t>
  </si>
  <si>
    <t xml:space="preserve">RailsRoaders </t>
  </si>
  <si>
    <t>E613B</t>
  </si>
  <si>
    <t>mschaudh psivash2 jdmehta</t>
  </si>
  <si>
    <t xml:space="preserve">http://152.46.17.11:3000
https://github.com/jinaymehta25/expertiza
</t>
  </si>
  <si>
    <t xml:space="preserve">OSS projects, Fall 2012_Team76 </t>
  </si>
  <si>
    <t>E613A</t>
  </si>
  <si>
    <t>jvshanbh annice araghur2</t>
  </si>
  <si>
    <t>https://github.com/annice/expertiza-1
http://152.46.16.243:3000/</t>
  </si>
  <si>
    <t xml:space="preserve">OSS projects, Fall 2012_Team9 </t>
  </si>
  <si>
    <t>sbagga pwu6 dmcarmon</t>
  </si>
  <si>
    <t xml:space="preserve">https://github.com/baggasumit/Expertiza_E612B
http://152.1.13.28:3000/
</t>
  </si>
  <si>
    <t xml:space="preserve">OSS projects, Fall 2012_Team33 </t>
  </si>
  <si>
    <t>E612A</t>
  </si>
  <si>
    <t>avyas2 psingha ggsingh</t>
  </si>
  <si>
    <t xml:space="preserve">http://152.1.13.155:3000/
</t>
  </si>
  <si>
    <t xml:space="preserve">OSS projects, Fall 2012_Team22 </t>
  </si>
  <si>
    <t>E611</t>
  </si>
  <si>
    <t>pvthakka hgupta2 rjagird</t>
  </si>
  <si>
    <t xml:space="preserve">http://152.46.17.179:3000
https://github.com/hgupta2/Expertiza611a
http://152.7.98.21:3000
</t>
  </si>
  <si>
    <t xml:space="preserve">OSS projects, Fall 2012_Team37 </t>
  </si>
  <si>
    <t>E610</t>
  </si>
  <si>
    <t>rkosana vcorrei ssubram8</t>
  </si>
  <si>
    <t xml:space="preserve">https://github.com/swathi9488/ExpertizaRefactoringAndTestOfScores
https://docs.google.com/document/d/1rN7uho_pTzOs-jj35sdiJ-ZTkWnEVgmsjl_gZp6kutQ/edit
http://152.1.13.141:3000/
</t>
  </si>
  <si>
    <t xml:space="preserve">OSS projects, Fall 2012_Team34 </t>
  </si>
  <si>
    <t>E609B</t>
  </si>
  <si>
    <t>rbettad apawar2 akoradh</t>
  </si>
  <si>
    <t>http://github.com/csc517/Expertiza.git</t>
  </si>
  <si>
    <t xml:space="preserve">OSS projects, Fall 2012_Team78 </t>
  </si>
  <si>
    <t>E609A</t>
  </si>
  <si>
    <t>mrkamat avranade asheikh</t>
  </si>
  <si>
    <t>http://152.46.17.241:3000/
https://github.com/avranade/expertiza
http://152.46.18.117:3000/</t>
  </si>
  <si>
    <t xml:space="preserve">OSS projects, Fall 2012_Team38 </t>
  </si>
  <si>
    <t>asthirth msudhee nvenkat</t>
  </si>
  <si>
    <t>http://152.46.19.191:3000/
https://github.com/nvenkat/expertiza</t>
  </si>
  <si>
    <t xml:space="preserve">OSS projects, Fall 2012_Team10 </t>
  </si>
  <si>
    <t>E607B</t>
  </si>
  <si>
    <t>kchando sbkottan smohana</t>
  </si>
  <si>
    <t>https://github.com/sbkottan/csc517-Expertiza.git
http://152.1.13.151:3000/</t>
  </si>
  <si>
    <t xml:space="preserve">OSS projects, Fall 2012_Team27 </t>
  </si>
  <si>
    <t>E607A</t>
  </si>
  <si>
    <t>mjoseph aasokna ssasidh</t>
  </si>
  <si>
    <t xml:space="preserve">https://github.com/manujoseph/expertiza
http://152.46.16.159:3000/
</t>
  </si>
  <si>
    <t xml:space="preserve">OSS projects, Fall 2012_Team26 </t>
  </si>
  <si>
    <t>E606</t>
  </si>
  <si>
    <t>vrkhamke (Khamker, Vandit Rajendra)
gsingh5 (Singh, Gurinder Pal)
adave (Dave, Aakash)</t>
  </si>
  <si>
    <t xml:space="preserve">https://github.com/vanditk/expertiza.git
</t>
  </si>
  <si>
    <t xml:space="preserve">OSS projects, Fall 2012_Team39 </t>
  </si>
  <si>
    <t>No choosers</t>
  </si>
  <si>
    <t>svmankar (Mankar, Swapnil Vikas)
ikjaishw (Jaishwal, Indu Kumari)
sshenoy (Shenoy, Swathi Vaikunta)</t>
  </si>
  <si>
    <t>http://152.7.98.40:3000/
https://github.com/mvswapnil/Refactoringquestionnaire.git</t>
  </si>
  <si>
    <t xml:space="preserve">OSS projects, Fall 2012_Team4 </t>
  </si>
  <si>
    <t>E604B</t>
  </si>
  <si>
    <t>avsarang ssinha3 amendir2</t>
  </si>
  <si>
    <t>https://github.com/ssinha3/OSS-EXPERTIZA-FALL2012-E604B.git</t>
  </si>
  <si>
    <t xml:space="preserve">OSS projects, Fall 2012_Team2 </t>
  </si>
  <si>
    <t>E6044A</t>
  </si>
  <si>
    <t>smbuch mstonse knagar</t>
  </si>
  <si>
    <t>- https://github.com/mstonse/OSS
- http://152.46.18.198:3000</t>
  </si>
  <si>
    <t xml:space="preserve">OSS projects, Fall 2012_Team35 </t>
  </si>
  <si>
    <t>E603B</t>
  </si>
  <si>
    <t>skillam mptapasw oabedark</t>
  </si>
  <si>
    <t>https://github.com/sinduk/OSS_Project_test.git
http://152.46.20.83:3000/</t>
  </si>
  <si>
    <t xml:space="preserve">OSS projects, Fall 2012_Team25 </t>
  </si>
  <si>
    <t>E603A</t>
  </si>
  <si>
    <t>rbyredd spangul hpkancha</t>
  </si>
  <si>
    <t>http://152.46.20.144:3000/
https://github.com/rbyredd/expertiza-expertiza-jkidd-2.2.2-527-ge73c83a</t>
  </si>
  <si>
    <t xml:space="preserve">OSS projects, Fall 2012_Team42 </t>
  </si>
  <si>
    <t>E602</t>
  </si>
  <si>
    <t>smahish sjayash pgjalisa</t>
  </si>
  <si>
    <t>https://github.com/priyankagj/Expertiza
http://152.46.16.104:3000/</t>
  </si>
  <si>
    <t xml:space="preserve">OSS projects, Fall 2012_Team68 </t>
  </si>
  <si>
    <t>E601</t>
  </si>
  <si>
    <t>skanaka srmale gpinnad</t>
  </si>
  <si>
    <t xml:space="preserve">https://github.com/Santosh245/expertiza.git
http://152.1.13.162:3000/
</t>
  </si>
  <si>
    <t xml:space="preserve">OSS projects, Fall 2012_Team3 </t>
  </si>
  <si>
    <t>2012 Summer Final</t>
  </si>
  <si>
    <t>E509</t>
  </si>
  <si>
    <t>E508</t>
  </si>
  <si>
    <t>E507</t>
  </si>
  <si>
    <r>
      <rPr>
        <rFont val="arial,sans,sans-serif"/>
        <color rgb="FF1155CC"/>
        <u/>
      </rPr>
      <t>https://github.com/mdmeadow/expertiza</t>
    </r>
    <r>
      <rPr>
        <rFont val="arial,sans,sans-serif"/>
      </rPr>
      <t xml:space="preserve">
- git://github.com/mdmeadow/expertiza.git
https://docs.google.com/document/d/1KK3FK0SH_2ClkcSXoRp2ZHLsfLLJRNDSEy9-9-iiUco/edit
http://152.7.99.119:3000/game_data
</t>
    </r>
  </si>
  <si>
    <t>E506</t>
  </si>
  <si>
    <t>https://github.com/amrodj/expertiza/tree/E406_refactoring_arodrig3
https://github.com/expertiza/expertiza/pull/204
http://152.46.20.113:3000</t>
  </si>
  <si>
    <t>E505</t>
  </si>
  <si>
    <t xml:space="preserve">https://docs.google.com/document/d/1bqgkRi2qxQXfxXaIlB_2v_Ik4-ZU0DLByKUaRVC-5U0/edit
</t>
  </si>
  <si>
    <t>E504</t>
  </si>
  <si>
    <t>https://github.com/drmoorevt/expertiza/tree/E404
https://github.com/drmoorevt/expertiza/blob/E404/README.md
http://152.7.98.26:3000/</t>
  </si>
  <si>
    <t>E503</t>
  </si>
  <si>
    <t>https://docs.google.com/document/d/1d7k_x3fChqR4P_glcXi3ofIuNUWVVME1GDYC1ziwulA/edit
https://docs.google.com/document/d/1SBpTYN1JRIs15qMBt5vYqyBqEKVECFSumRGN4MpAdpo/edit</t>
  </si>
  <si>
    <t>E502</t>
  </si>
  <si>
    <t xml:space="preserve">https://github.com/omercs/expertiza
</t>
  </si>
  <si>
    <t>E501</t>
  </si>
  <si>
    <t>http://152.46.17.62:3000/
https://github.com/sjohnncsu/expertiza</t>
  </si>
  <si>
    <t>2012 Summer OSS</t>
  </si>
  <si>
    <t>E407</t>
  </si>
  <si>
    <t xml:space="preserve">https://github.com/mdmeadow/expertiza
- git://github.com/mdmeadow/expertiza.git
https://docs.google.com/document/d/1KK3FK0SH_2ClkcSXoRp2ZHLsfLLJRNDSEy9-9-iiUco/edit
http://152.7.99.119:3000/game_data
</t>
  </si>
  <si>
    <t>E219</t>
  </si>
  <si>
    <t>E406</t>
  </si>
  <si>
    <t xml:space="preserve">https://github.com/amrodj/expertiza/tree/E406_refactoring_arodrig3
https://github.com/expertiza/expertiza/pull/204
http://152.46.20.113:3000
</t>
  </si>
  <si>
    <t>E209</t>
  </si>
  <si>
    <t>E405</t>
  </si>
  <si>
    <t>https://github.com/mdsakalu/expertiza/tree/E209-signup-controller
http://152.7.98.41:3000
http://152.46.20.82:3000</t>
  </si>
  <si>
    <t>E404</t>
  </si>
  <si>
    <t xml:space="preserve">https://github.com/drmoorevt/expertiza/tree/E404
https://github.com/drmoorevt/expertiza/blob/E404/README.md
http://152.7.98.26:3000/
</t>
  </si>
  <si>
    <t>E403</t>
  </si>
  <si>
    <t>http://152.46.17.96:3000
https://github.com/ritalui/expertiza/
https://github.com/expertiza/expertiza/pull/206</t>
  </si>
  <si>
    <t>E402</t>
  </si>
  <si>
    <t>https://github.com/omercs/expertiza</t>
  </si>
  <si>
    <t>E401</t>
  </si>
  <si>
    <t>M402</t>
  </si>
  <si>
    <t>M401</t>
  </si>
  <si>
    <t>2011 Fall Final</t>
  </si>
  <si>
    <t>E325</t>
  </si>
  <si>
    <t xml:space="preserve">https://github.com/graham-malmgren/expertiza
http://youtu.be/_sUpHJC-p3s
</t>
  </si>
  <si>
    <t>E324</t>
  </si>
  <si>
    <t>https://github.com/expertiza/expertiza/pull/139
https://github.com/smithasudarshan/expertiza
http://www.youtube.com/watch?v=V14aaL5smrw</t>
  </si>
  <si>
    <t>E323</t>
  </si>
  <si>
    <t>https://github.com/mvkantra/expertiza/tree/review_versioning
http://screenr.com/eVEs
https://github.com/expertiza/expertiza/pull/161</t>
  </si>
  <si>
    <t>E322</t>
  </si>
  <si>
    <t>https://github.com/expertiza/expertiza.git
https://mndsouza@github.com/mndsouza/expertiza.git
http://youtu.be/3Pd9JYJbwLY
http://www.youtube.com/watch?v=jRQEyGNCIPw&amp;feature=youtu.be</t>
  </si>
  <si>
    <t>E321</t>
  </si>
  <si>
    <t>https://github.com/ShyamR/expertiza/tree/E321-CodeReview
http://www.youtube.com/watch?v=2-02--nnbvA
https://github.com/expertiza/expertiza/pull/159</t>
  </si>
  <si>
    <t>E320</t>
  </si>
  <si>
    <t>https://docs.google.com/a/ncsu.edu/open?id=0BzrPjh-HF_0FOWZkMWZhMGEtNDcxNS00NDFkLTkxMmItN2VhYmI2MjgwNDBi
https://github.com/salilkanitkar/expertiza_masa
http://www.youtube.com/watch?v=4FitMiAyt4c
https://docs.google.com/a/ncsu.edu/open?id=0BzrPjh-HF_0FMDcwYTk1MTItNTU4YS00OGE3LWFiOTgtMTU2MTEzNzcxMzMx</t>
  </si>
  <si>
    <t>E319</t>
  </si>
  <si>
    <t xml:space="preserve">https://github.com/expertiza/expertiza/pull/165
http://screenr.com/u9Es
https://github.com/rgowda/expertiza/tree/E319
</t>
  </si>
  <si>
    <t>E318</t>
  </si>
  <si>
    <t>https://github.com/sandeep-a-rao/expertiza
http://www.youtube.com/watch?v=arY8JxNBMFY</t>
  </si>
  <si>
    <t>E317</t>
  </si>
  <si>
    <t xml:space="preserve">https://github.com/sgpai/360assessment
https://github.com/sgpai/expertiza.git
https://github.com/sgpai/expertiza/tree/E1-360degree
http://www.screenr.com/43fs
http://www.screenr.com/f3fs
http://www.youtube.com/watch?v=dP86olX9a0k
http://www.youtube.com/watch?v=vJmy1fou5eI
</t>
  </si>
  <si>
    <t>E316</t>
  </si>
  <si>
    <t>http://youtu.be/DrFhp_Sf7jE
https://github.com/abhimanyumshetti/expertiza-1</t>
  </si>
  <si>
    <t>E315</t>
  </si>
  <si>
    <t xml:space="preserve">http://github.com/oliviers/expertiza
http://www.youtube.com/watch?v=SXpCPEq1viM
https://github.com/expertiza/expertiza/pull/167/files#diff-8
https://docs.google.com/document/d/1OC4ucHOrlrNKi-QKuJnxHY7PM7TTQFyccx1RGv8JZ24/edit
</t>
  </si>
  <si>
    <t>E314</t>
  </si>
  <si>
    <t xml:space="preserve">https://github.com/spotlur/expertiza
http://www.youtube.com/watch?v=CrOIFqHFKH0
</t>
  </si>
  <si>
    <t>E313</t>
  </si>
  <si>
    <t>https://github.com/agalford/expertiza
http://www.youtube.com/watch?v=uUt1hMUMFbM
https://github.com/expertiza/expertiza/pull/137</t>
  </si>
  <si>
    <t>E312</t>
  </si>
  <si>
    <t>E311</t>
  </si>
  <si>
    <t>https://github.com/expertiza/expertiza/pull/171
http://www.youtube.com/watch?v=hKSbEnV4wZg
https://github.com/wshadowhunter/expertiza_us</t>
  </si>
  <si>
    <t>E310</t>
  </si>
  <si>
    <t>https://github.com/capsang/expertiza/tree/social_bookmarking</t>
  </si>
  <si>
    <t>E309</t>
  </si>
  <si>
    <t>https://docs.google.com/a/ncsu.edu/document/d/1XIa4sPCSabaPvoQlfip840CSofVtHqRBtyNgGkKSalg/edit
https://docs.google.com/a/ncsu.edu/document/d/1zZwbmwJ3VjWRWvGVxTga4ANxyxTFmfkpRMfdMj94buI/edit?authkey=CObF6tEB
https://github.com/ajdavis7/expertiza/tree/E309
http://www.theresnostoppingus.com/d/theresnostoppingus/dump/ncsu/ece517/final_project_part_1.swf
http://www.theresnostoppingus.com/d/theresnostoppingus/dump/ncsu/ece517/final_project_part_2.swf
https://github.com/expertiza/expertiza/pull/157</t>
  </si>
  <si>
    <t>E308</t>
  </si>
  <si>
    <t>https://docs.google.com/document/d/1ja4YtKJKD7QxHf83iu0U5-QZhtxb-2Ec86D-l3G7QGc/edit
http://www.screencast.com/t/lgdvUaaP
https://github.com/ResumeNothing/expertiza
https://github.com/expertiza/expertiza/pull/164</t>
  </si>
  <si>
    <t>E307</t>
  </si>
  <si>
    <t>https://github.com/sindhuragade/expertiza/tree/final_project_ourcontributions
http://www.screenr.com/CiEs
https://github.com/expertiza/expertiza/pull/158</t>
  </si>
  <si>
    <t>E306</t>
  </si>
  <si>
    <t>https://github.com/expertiza/expertiza/pull/176
http://www.youtube.com/watch?v=GFgIp_YWOv0
http://www.youtube.com/watch?v=Dq256jdeJ1s&amp;feature=youtu.be
https://docs.google.com/document/d/1kMwLHwsjnh6kytXrlBm-tnOCufroPBnjv0ZtK9QIvWo/edit?hl=en_US
https://github.com/bkuraku/expertiza/tree/E306</t>
  </si>
  <si>
    <t>E305</t>
  </si>
  <si>
    <t>https://github.com/chaoli599195/FinalProject517</t>
  </si>
  <si>
    <t>E304</t>
  </si>
  <si>
    <t>E303</t>
  </si>
  <si>
    <t>https://github.com/expertiza303/expertiza303
http://www.youtube.com/watch?v=9dlgR9xxFLQ</t>
  </si>
  <si>
    <t>E302</t>
  </si>
  <si>
    <t>E301</t>
  </si>
  <si>
    <t xml:space="preserve">http://www.youtube.com/watch?v=OuS1ZBUnSuI&amp;feature=youtu.be
https://github.com/cilantropig/expertiza
https://github.com/expertiza/expertiza/pull/141
https://docs.google.com/a/ncsu.edu/document/d/13WiVTFy7gUuk0eDTEaWRzAA0z3471PkUQMMzfP7noB4/edit?hl=en_US
</t>
  </si>
  <si>
    <t>2011 Fall OSS</t>
  </si>
  <si>
    <t>E220</t>
  </si>
  <si>
    <t xml:space="preserve">https://github.com/salilkanitkar/expertiza_ec
https://docs.google.com/a/ncsu.edu/open?id=0BzrPjh-HF_0FY2EwYmI4MTctMmE2Yi00N2JkLWE5ZGYtZDFkMDlmMzM3NWJl
http://152.1.13.251:3000
https://docs.google.com/a/ncsu.edu/document/d/1Ddw4VO1g_07R2cVxhFzqIL4YQ79kzwjw3UiM0b8jvf8
http://152.1.13.251:3001/
https://docs.google.com/a/ncsu.edu/document/d/1PU73xv2MDhdDpy2-PY0d_zkWtmvaru0N3vpgTOTqu_Q/edit
</t>
  </si>
  <si>
    <t>https://github.com/vivijw/oss2/
https://github.com/bkuraku/expertiza/tree/E219-A
https://github.com/bkuraku/expertiza/blob/E219-A/Readme.txt</t>
  </si>
  <si>
    <t>E218</t>
  </si>
  <si>
    <t xml:space="preserve">https://github.com/Sreepathi/expertiza
http://152.1.13.215:3000
https://github.com/jayanthvn/expertiza
</t>
  </si>
  <si>
    <t>E217</t>
  </si>
  <si>
    <t>https://trello.com/board/expertiza-integration/4e97910a88107fb718001fd1
https://github.com/ajdavis7/expertiza/tree/E9-FailedMerge
https://github.com/ajdavis7/expertiza/tree/E013-A
https://github.com/ajdavis7/expertiza/tree/E11-B-CodeReviewhttps://github.com/girishpandit88/expertiza
https://github.com/rvijaya2/expertiza.git
https://girishpandit88@github.com/girishpandit88/expertiza.git
https://trello.com/card/board/e16-logging-in-expertiza/4e97910a88107fb718001fd1/4e979b5e88107fb7180256e7
https://trello.com/card/board/e6-quizzing/4e97910a88107fb718001fd1/4e979b9388107fb71802668b
https://github.com/girishpandit88/expertiza/tree/E16-A-logging
http://152.1.13.219:5801
https://github.com/expertiza/expertiza/pull/120
https://github.com/rvijaya2/expertiza/tree/E6-v1</t>
  </si>
  <si>
    <t>E216</t>
  </si>
  <si>
    <t xml:space="preserve">https://github.com/ResumeNothing/expertiza
https://github.com/expertiza/expertiza/pull/125
</t>
  </si>
  <si>
    <t>E215</t>
  </si>
  <si>
    <t>https://github.com/mrmanrin/expertiza
- git://github.com/mrmanrin/expertiza.git</t>
  </si>
  <si>
    <t>E214</t>
  </si>
  <si>
    <t>https://github.com/zhengzengprc/expertiza</t>
  </si>
  <si>
    <t>E213b</t>
  </si>
  <si>
    <t>https://github.com/sindhuragade/expertiza/tree/ourcontributions</t>
  </si>
  <si>
    <t>E213a</t>
  </si>
  <si>
    <t>https://github.com/wshadowhunter/oss2</t>
  </si>
  <si>
    <t>E212</t>
  </si>
  <si>
    <t xml:space="preserve">https://srikanth6185@github.com/srikanth6185/expertiza.git
https://github.com/srikanth6185/expertiza/tree/oss_wiki_spider
https://github.com/expertiza/expertiza/pull/135
</t>
  </si>
  <si>
    <t>E211</t>
  </si>
  <si>
    <t>https://github.com/niranjandesai/expertiza
https://github.com/expertiza/expertiza/pull/126https://github.com/sgpai/OSSNotification</t>
  </si>
  <si>
    <t>E210</t>
  </si>
  <si>
    <t>https://github.com/ssgujar/expertiza</t>
  </si>
  <si>
    <t>https://github.com/srinath-sridhar/Expertiza-E209</t>
  </si>
  <si>
    <t>E208</t>
  </si>
  <si>
    <t>https://github.com/expertiza/expertiza/pull/128
http://152.1.13.208:3000
https://github.com/gmahesh/expertiza</t>
  </si>
  <si>
    <t>E207</t>
  </si>
  <si>
    <t>https://github.com/smithasudarshan/OSS-project
http://152.1.13.218:3000/
http://152.7.99.166:3000/</t>
  </si>
  <si>
    <t>E206</t>
  </si>
  <si>
    <t xml:space="preserve">https://github.com/agalford/expertiza
https://github.com/agalford/expertiza/blob/master/README.md
https://github.com/expertiza/expertiza/pull/137
</t>
  </si>
  <si>
    <t>E205</t>
  </si>
  <si>
    <t>http://152.1.13.232:3000/
https://github.com/themightytruk/expertiza</t>
  </si>
  <si>
    <t>E204</t>
  </si>
  <si>
    <t xml:space="preserve">https://abhimanyumshetti@github.com/abhimanyumshetti/Expertiza.git
https://github.com/abhimanyumshetti/Expertiza
</t>
  </si>
  <si>
    <t>E203</t>
  </si>
  <si>
    <t>http://152.1.13.251:5801/</t>
  </si>
  <si>
    <t>E202</t>
  </si>
  <si>
    <t>https://github.com/sterlingalexander/517_OSS_Project
http://152.1.13.216:3000/
https://github.com/expertiza/expertiza/pull/141</t>
  </si>
  <si>
    <t>E201</t>
  </si>
  <si>
    <t>http://152.1.13.233:3000/
https://github.com/svellan/expertiza
https://github.com/svellan/expertiza/blob/master/README.md
https://github.com/mihirsurani/expertiza</t>
  </si>
  <si>
    <t>2010 Fall OSS</t>
  </si>
  <si>
    <t>2010_P15</t>
  </si>
  <si>
    <t>2010_P14</t>
  </si>
  <si>
    <t>2010_P13</t>
  </si>
  <si>
    <t>2010_P12</t>
  </si>
  <si>
    <t>2010_P11</t>
  </si>
  <si>
    <t>2010_P10</t>
  </si>
  <si>
    <t>2010_P9</t>
  </si>
  <si>
    <t>2010_P8</t>
  </si>
  <si>
    <t>2010_P7</t>
  </si>
  <si>
    <t>2010_P6</t>
  </si>
  <si>
    <t>2010_P5</t>
  </si>
  <si>
    <t>2010_P4</t>
  </si>
  <si>
    <t>2010_P3</t>
  </si>
  <si>
    <t>2010_P2</t>
  </si>
  <si>
    <t>2010_P1</t>
  </si>
  <si>
    <t>2010 Fall Final</t>
  </si>
  <si>
    <t>2010_E09</t>
  </si>
  <si>
    <t>2010_E08</t>
  </si>
  <si>
    <t>2010_E07</t>
  </si>
  <si>
    <t>2010_E06</t>
  </si>
  <si>
    <t>2010_E05</t>
  </si>
  <si>
    <t>2010_E04</t>
  </si>
  <si>
    <t>2010_E03</t>
  </si>
  <si>
    <t>2010_E02</t>
  </si>
  <si>
    <t>2010_E01</t>
  </si>
  <si>
    <t>2009 Fall Final</t>
  </si>
  <si>
    <t>2008_E7</t>
  </si>
  <si>
    <t>2008_E6</t>
  </si>
  <si>
    <t>2008_E5</t>
  </si>
  <si>
    <t>2008_E4</t>
  </si>
  <si>
    <t>2008_E3</t>
  </si>
  <si>
    <t>2008_E2</t>
  </si>
  <si>
    <t>2008_E1</t>
  </si>
  <si>
    <t>2008 Summer Final</t>
  </si>
  <si>
    <t>2007 Fall Final</t>
  </si>
  <si>
    <t>2007_13</t>
  </si>
  <si>
    <t>2007_12</t>
  </si>
  <si>
    <t>2007_11</t>
  </si>
  <si>
    <t>2007_10</t>
  </si>
  <si>
    <t>2007_9</t>
  </si>
  <si>
    <t>2007_8</t>
  </si>
  <si>
    <t>2007_7</t>
  </si>
  <si>
    <t>2007_6</t>
  </si>
  <si>
    <t>2007_5</t>
  </si>
  <si>
    <t>2007_4</t>
  </si>
  <si>
    <t>2007_3</t>
  </si>
  <si>
    <t>2007_2</t>
  </si>
  <si>
    <t>2007_1</t>
  </si>
  <si>
    <t>1. Merged</t>
  </si>
  <si>
    <t>2. Rejected</t>
  </si>
  <si>
    <t>3. Partially Merged</t>
  </si>
  <si>
    <t>Time merged (or attempted)</t>
  </si>
  <si>
    <t>project due on</t>
  </si>
  <si>
    <t>Days between</t>
  </si>
  <si>
    <t>Pull request url</t>
  </si>
  <si>
    <t>Importance</t>
  </si>
  <si>
    <t>1.1 Later reverted</t>
  </si>
  <si>
    <t>1.2 Rarely used</t>
  </si>
  <si>
    <t>1.3 Using</t>
  </si>
  <si>
    <t>2.1 Sloppy code/Failing functions</t>
  </si>
  <si>
    <t>2.2 Bad Specifications</t>
  </si>
  <si>
    <t>2.3 Oversized commit</t>
  </si>
  <si>
    <t>3.1 Bad code, we need it</t>
  </si>
  <si>
    <t>3.2 almost no improve, but no harm either (change styles)</t>
  </si>
  <si>
    <t>label</t>
  </si>
  <si>
    <t># lines added</t>
  </si>
  <si>
    <t># lines removed</t>
  </si>
  <si>
    <t># of commiters</t>
  </si>
  <si>
    <t># o commits</t>
  </si>
  <si>
    <t>temporal pattern</t>
  </si>
  <si>
    <t>Refactor delayed_mailer.rb and scheduled_task.rb</t>
  </si>
  <si>
    <t>Y (both)</t>
  </si>
  <si>
    <t>https://github.com/expertiza/expertiza/pull/925</t>
  </si>
  <si>
    <t>Refactor join_team_requests_controller.rb and invitation_controller.rb</t>
  </si>
  <si>
    <t>Y</t>
  </si>
  <si>
    <t>https://github.com/expertiza/expertiza/pull/922</t>
  </si>
  <si>
    <t>Refactor penalty_helper.rb and late_policies_controller.rb</t>
  </si>
  <si>
    <t>https://github.com/expertiza/expertiza/pull/930</t>
  </si>
  <si>
    <t>Allow instructor to sign students up for topics and drop them</t>
  </si>
  <si>
    <t>https://github.com/expertiza/expertiza/pull/916</t>
  </si>
  <si>
    <t>https://github.com/expertiza/expertiza/pull/923</t>
  </si>
  <si>
    <t>Review requirements and thresholds</t>
  </si>
  <si>
    <t>https://github.com/expertiza/expertiza/pull/924</t>
  </si>
  <si>
    <t>UI issues/fixes</t>
  </si>
  <si>
    <t>https://github.com/expertiza/expertiza/pull/931</t>
  </si>
  <si>
    <t>Use Ajax for adding participants, TA, Edit Questionnaires screens</t>
  </si>
  <si>
    <t>https://github.com/expertiza/expertiza/pull/921</t>
  </si>
  <si>
    <t>Test heat map for viewing scores</t>
  </si>
  <si>
    <t>Y (ff)</t>
  </si>
  <si>
    <t>https://github.com/expertiza/expertiza/pull/917</t>
  </si>
  <si>
    <t>Remove duplicated code in feature tests</t>
  </si>
  <si>
    <t>https://github.com/expertiza/expertiza/pull/910</t>
  </si>
  <si>
    <t>Remove cache field in roles table</t>
  </si>
  <si>
    <t>https://github.com/expertiza/expertiza/pull/912</t>
  </si>
  <si>
    <t>Move sign_up_sheet view logic to sign_up_sheet_helper.rb</t>
  </si>
  <si>
    <t>https://github.com/expertiza/expertiza/pull/913</t>
  </si>
  <si>
    <t>Move grades view logic to grades_helper.rb</t>
  </si>
  <si>
    <t>https://github.com/expertiza/expertiza/pull/911</t>
  </si>
  <si>
    <t>Export scores in detail</t>
  </si>
  <si>
    <t>https://github.com/expertiza/expertiza/pull/915</t>
  </si>
  <si>
    <t>Override review-grader pre-sort</t>
  </si>
  <si>
    <t>Y (sc)</t>
  </si>
  <si>
    <t>https://github.com/expertiza/expertiza/pull/920</t>
  </si>
  <si>
    <t>Improve score calculation</t>
  </si>
  <si>
    <t>https://github.com/expertiza/expertiza/pull/944</t>
  </si>
  <si>
    <t>Additions to logging: How many times did a student log in, etc.</t>
  </si>
  <si>
    <t>https://github.com/expertiza/expertiza/pull/954</t>
  </si>
  <si>
    <t>https://github.com/expertiza/expertiza/pull/937</t>
  </si>
  <si>
    <t>Improve survey functionality</t>
  </si>
  <si>
    <t>https://github.com/expertiza/expertiza/pull/948</t>
  </si>
  <si>
    <t>https://github.com/expertiza/expertiza/pull/947</t>
  </si>
  <si>
    <t>Convert Assignment creation form to ReactJS</t>
  </si>
  <si>
    <t>https://github.com/expertiza/expertiza/pull/951</t>
  </si>
  <si>
    <t>Integrate Simicheck Web Service into Expertiza</t>
  </si>
  <si>
    <t>https://github.com/expertiza/expertiza/pull/949</t>
  </si>
  <si>
    <t>Lightweight badging system based on Credly</t>
  </si>
  <si>
    <t>https://github.com/expertiza/expertiza/pull/945</t>
  </si>
  <si>
    <t>Visualizations for instructors</t>
  </si>
  <si>
    <t>https://github.com/expertiza/expertiza/pull/946</t>
  </si>
  <si>
    <t>Click and impersonate</t>
  </si>
  <si>
    <t>https://github.com/expertiza/expertiza/pull/952</t>
  </si>
  <si>
    <t>Github metrics integration</t>
  </si>
  <si>
    <t>https://github.com/expertiza/expertiza/pull/943</t>
  </si>
  <si>
    <t>Refactor bidding interface</t>
  </si>
  <si>
    <t>Y (but bad...)</t>
  </si>
  <si>
    <t>https://github.com/expertiza/expertiza/pull/778</t>
  </si>
  <si>
    <t>merged</t>
  </si>
  <si>
    <t>https://github.com/expertiza/expertiza/pull/828</t>
  </si>
  <si>
    <t>Refactor different question types from quiz feature</t>
  </si>
  <si>
    <t>Y (tried to fool us!)</t>
  </si>
  <si>
    <t>https://github.com/expertiza/expertiza/pull/837</t>
  </si>
  <si>
    <t>Refactor and write unit test of due_date.rb and deadline_helper.rb</t>
  </si>
  <si>
    <t>https://github.com/expertiza/expertiza/pull/755</t>
  </si>
  <si>
    <t>Y (cc)</t>
  </si>
  <si>
    <t>https://github.com/expertiza/expertiza/pull/824</t>
  </si>
  <si>
    <t>Y (cc, revert recent changes)</t>
  </si>
  <si>
    <t>https://github.com/expertiza/expertiza/pull/822</t>
  </si>
  <si>
    <t>https://github.com/expertiza/expertiza/pull/779</t>
  </si>
  <si>
    <t>Refactor response.rb and response_helper.rb</t>
  </si>
  <si>
    <t>Y (merge &amp; fix)</t>
  </si>
  <si>
    <t>https://github.com/expertiza/expertiza/pull/795</t>
  </si>
  <si>
    <t>Refactor review_mapping_controller.rb</t>
  </si>
  <si>
    <t>https://github.com/expertiza/expertiza/pull/836</t>
  </si>
  <si>
    <t>Refactor review_response_map.rb</t>
  </si>
  <si>
    <t>Y (good code bad test)</t>
  </si>
  <si>
    <t>https://github.com/expertiza/expertiza/pull/797</t>
  </si>
  <si>
    <t>https://github.com/expertiza/expertiza/pull/826</t>
  </si>
  <si>
    <t>Refactor and test TeamsController.rb</t>
  </si>
  <si>
    <t>Y (with fix by us)</t>
  </si>
  <si>
    <t>https://github.com/expertiza/expertiza/pull/803</t>
  </si>
  <si>
    <t>https://github.com/expertiza/expertiza/pull/744</t>
  </si>
  <si>
    <t>Add past-due assignments to task list</t>
  </si>
  <si>
    <t>Y (picked usable piece)</t>
  </si>
  <si>
    <t>https://github.com/expertiza/expertiza/pull/816</t>
  </si>
  <si>
    <t>https://github.com/expertiza/expertiza/pull/794</t>
  </si>
  <si>
    <t>Sort instructor views alphabetically by default</t>
  </si>
  <si>
    <t>https://github.com/expertiza/expertiza/pull/788</t>
  </si>
  <si>
    <t>Course teams and submission directories</t>
  </si>
  <si>
    <t>Y (but bad commit message, with fix by us)</t>
  </si>
  <si>
    <t>https://github.com/expertiza/expertiza/pull/777</t>
  </si>
  <si>
    <t>Fix teammate advertisements and requests to join a team</t>
  </si>
  <si>
    <t>Y (both, then re-done by us)</t>
  </si>
  <si>
    <t>https://github.com/expertiza/expertiza/pull/781</t>
  </si>
  <si>
    <t>Fix and improve rubric criteria</t>
  </si>
  <si>
    <t>Y (function works, not consistant with our design)</t>
  </si>
  <si>
    <t>https://github.com/expertiza/expertiza/pull/799</t>
  </si>
  <si>
    <t>Improve date-picker and deadlines</t>
  </si>
  <si>
    <t>Y (有点冤,其实分应该更多)</t>
  </si>
  <si>
    <t>https://github.com/expertiza/expertiza/pull/810</t>
  </si>
  <si>
    <t>https://github.com/expertiza/expertiza/pull/751</t>
  </si>
  <si>
    <t>https://github.com/expertiza/expertiza/pull/786</t>
  </si>
  <si>
    <t>Introduce a Student View for instructors</t>
  </si>
  <si>
    <t>Y (脑洞feature啊！)</t>
  </si>
  <si>
    <t>https://github.com/expertiza/expertiza/pull/827</t>
  </si>
  <si>
    <t>Refactor lottery_controller.rb and write integration tests</t>
  </si>
  <si>
    <t>Y (fixed by us, then can be used in tricky, manual way)</t>
  </si>
  <si>
    <t>https://github.com/expertiza/expertiza/pull/763</t>
  </si>
  <si>
    <t>Refactor on_the_fly_calc.rb</t>
  </si>
  <si>
    <t>https://github.com/expertiza/expertiza/pull/844</t>
  </si>
  <si>
    <t>https://github.com/expertiza/expertiza/pull/825</t>
  </si>
  <si>
    <t>Reviewer-round matrix for viewing scores from different rounds</t>
  </si>
  <si>
    <t>https://github.com/expertiza/expertiza/pull/787</t>
  </si>
  <si>
    <t>https://github.com/expertiza/expertiza/pull/835</t>
  </si>
  <si>
    <t>https://github.com/expertiza/expertiza/pull/804</t>
  </si>
  <si>
    <t>Feature test for assignment creation via instructor</t>
  </si>
  <si>
    <t>Y (merged &amp; fixed)</t>
  </si>
  <si>
    <t>https://github.com/expertiza/expertiza/pull/811</t>
  </si>
  <si>
    <t>Test staggered-deadline functionality</t>
  </si>
  <si>
    <t>Y (test only the successful cases, not the failing cases)</t>
  </si>
  <si>
    <t>Test team functionality</t>
  </si>
  <si>
    <t>Y (1000 行，duiplicated)</t>
  </si>
  <si>
    <t>https://github.com/expertiza/expertiza/pull/772</t>
  </si>
  <si>
    <t>https://github.com/expertiza/expertiza/pull/813</t>
  </si>
  <si>
    <t>Test e-mailing functionality</t>
  </si>
  <si>
    <t>Y (cc, duplicated code)</t>
  </si>
  <si>
    <t>https://github.com/expertiza/expertiza/pull/812</t>
  </si>
  <si>
    <t>Test various kinds of response map hierarchies</t>
  </si>
  <si>
    <t>https://github.com/expertiza/expertiza/pull/765</t>
  </si>
  <si>
    <t>Unit tests for answers.rb</t>
  </si>
  <si>
    <t>Y (reasonable tests!)</t>
  </si>
  <si>
    <t>https://github.com/expertiza/expertiza/pull/792</t>
  </si>
  <si>
    <t>Unit tests for participants.rb hierarchy (assignment_participant, course_participant)</t>
  </si>
  <si>
    <t>https://github.com/expertiza/expertiza/pull/819</t>
  </si>
  <si>
    <t>https://github.com/expertiza/expertiza/pull/800</t>
  </si>
  <si>
    <t>Refactor [question_type].rb (eg. criterion.rb)</t>
  </si>
  <si>
    <t>Y (we emphasized CodeClimate)</t>
  </si>
  <si>
    <t>Y (too much refactoring to please CodeClimate)</t>
  </si>
  <si>
    <t>https://github.com/expertiza/expertiza/pull/832</t>
  </si>
  <si>
    <t>Refactor leaderboard.rb and write unit tests</t>
  </si>
  <si>
    <t>Y (we asked them to refactor an unwanted feature)</t>
  </si>
  <si>
    <t>https://github.com/expertiza/expertiza/pull/791</t>
  </si>
  <si>
    <t>Timestamp for student file &amp; hyperlink submissions</t>
  </si>
  <si>
    <t>Y (fix by us b/c there is a final based on this oss)</t>
  </si>
  <si>
    <t>https://github.com/expertiza/expertiza/pull/782</t>
  </si>
  <si>
    <t>Role-based reviewing</t>
  </si>
  <si>
    <t>Y (YAGNI)</t>
  </si>
  <si>
    <t>https://github.com/expertiza/expertiza/pull/860</t>
  </si>
  <si>
    <t>Y (our bad in db design)</t>
  </si>
  <si>
    <t>https://github.com/expertiza/expertiza/pull/892</t>
  </si>
  <si>
    <t>Review configuration options</t>
  </si>
  <si>
    <t>Merged</t>
  </si>
  <si>
    <t>Y (merge and fix)</t>
  </si>
  <si>
    <t>https://github.com/expertiza/expertiza/pull/851</t>
  </si>
  <si>
    <t>Let experts as well as students do reviews</t>
  </si>
  <si>
    <t>Y (bad naming suggested by us)</t>
  </si>
  <si>
    <t>https://github.com/expertiza/expertiza/pull/858</t>
  </si>
  <si>
    <t>https://github.com/expertiza/expertiza/pull/878</t>
  </si>
  <si>
    <t>Refactor and test the quizzing feature</t>
  </si>
  <si>
    <t>Y (guided by Yang)</t>
  </si>
  <si>
    <t>https://github.com/expertiza/expertiza/pull/888</t>
  </si>
  <si>
    <t>Y (cc and design pattern used not correctly)</t>
  </si>
  <si>
    <t>https://github.com/expertiza/expertiza/pull/886</t>
  </si>
  <si>
    <t>Y (cc, project not really finished. single person team, tho.)</t>
  </si>
  <si>
    <t>https://github.com/expertiza/expertiza/pull/894</t>
  </si>
  <si>
    <t>Feature Test for Assignment Submission</t>
  </si>
  <si>
    <t>Y (good tests!)</t>
  </si>
  <si>
    <t>https://github.com/expertiza/expertiza/pull/859</t>
  </si>
  <si>
    <t>https://github.com/expertiza/expertiza/pull/874</t>
  </si>
  <si>
    <t>Y (cc, did not follow E1675 design as we told them)</t>
  </si>
  <si>
    <t>https://github.com/expertiza/expertiza/pull/869</t>
  </si>
  <si>
    <t>Y (with minor fix)</t>
  </si>
  <si>
    <t>https://github.com/expertiza/expertiza/pull/867</t>
  </si>
  <si>
    <t>Send feedback to support + tree display improvement</t>
  </si>
  <si>
    <t>Y (We do not need  "Actions" button in tree display page, &amp; you click on it to see the set of icons.)</t>
  </si>
  <si>
    <t>https://github.com/expertiza/expertiza/pull/882</t>
  </si>
  <si>
    <t>Y (ff-single thread)</t>
  </si>
  <si>
    <t>https://github.com/expertiza/expertiza/pull/880</t>
  </si>
  <si>
    <t>https://github.com/expertiza/expertiza/pull/854</t>
  </si>
  <si>
    <t>https://github.com/expertiza/expertiza/pull/855</t>
  </si>
  <si>
    <t>https://github.com/expertiza/expertiza/pull/873</t>
  </si>
  <si>
    <t>Drag-and-drop interface for creating rubrics</t>
  </si>
  <si>
    <t>Y (cc, bad design decisions)</t>
  </si>
  <si>
    <t>https://github.com/expertiza/expertiza/pull/866</t>
  </si>
  <si>
    <t>Improve grade-conflict reports for instructors</t>
  </si>
  <si>
    <t>https://github.com/expertiza/expertiza/pull/890</t>
  </si>
  <si>
    <t>Improve self-review</t>
  </si>
  <si>
    <t>Y (cc, hard code stuff)</t>
  </si>
  <si>
    <t>https://github.com/expertiza/expertiza/pull/891</t>
  </si>
  <si>
    <t>Add descriptions, links to topics</t>
  </si>
  <si>
    <t>Y (no UI support)</t>
  </si>
  <si>
    <t>https://github.com/expertiza/expertiza/pull/864</t>
  </si>
  <si>
    <t>Instructor/student control of anonymity + group-based reviewing</t>
  </si>
  <si>
    <t>Redone by Yang</t>
  </si>
  <si>
    <t>Y(ff)</t>
  </si>
  <si>
    <t>https://github.com/expertiza/expertiza/pull/868</t>
  </si>
  <si>
    <t>Y(ff, bad design decision, did more than required, but will make system really slow)</t>
  </si>
  <si>
    <t>https://github.com/expertiza/expertiza/pull/857</t>
  </si>
  <si>
    <t>Y(cc, did a lot trivial work, there's better/cleaner way)</t>
  </si>
  <si>
    <t>https://github.com/expertiza/expertiza/pull/893</t>
  </si>
  <si>
    <t>Track the time that students look at the other submissions</t>
  </si>
  <si>
    <t>Y(cc)</t>
  </si>
  <si>
    <t>https://github.com/expertiza/expertiza/pull/875</t>
  </si>
  <si>
    <t>Implement top trading cycles in the instructor view and exclude previous teammates from new teams</t>
  </si>
  <si>
    <t>https://github.com/expertiza/expertiza/pull/881</t>
  </si>
  <si>
    <t>Improvements to staggered-deadline assignments</t>
  </si>
  <si>
    <t>Partially merged</t>
  </si>
  <si>
    <t>Y (bad design)</t>
  </si>
  <si>
    <t>https://github.com/expertiza/expertiza/pull/877</t>
  </si>
  <si>
    <t>https://github.com/expertiza/expertiza/pull/870</t>
  </si>
  <si>
    <t>Self-review feature</t>
  </si>
  <si>
    <t>Y (bad tests)</t>
  </si>
  <si>
    <t>https://github.com/expertiza/expertiza/pull/656</t>
  </si>
  <si>
    <t>Refactor methods related to submitted_hyperlinks</t>
  </si>
  <si>
    <t>https://github.com/expertiza/expertiza/pull/655</t>
  </si>
  <si>
    <t>https://github.com/expertiza/expertiza/pull/663</t>
  </si>
  <si>
    <t>Refactor user, course_participant and assignment_participant model</t>
  </si>
  <si>
    <t>Y(both)</t>
  </si>
  <si>
    <t>https://github.com/expertiza/expertiza/pull/662</t>
  </si>
  <si>
    <t>Functional tests for Calibration function</t>
  </si>
  <si>
    <t>https://github.com/expertiza/expertiza/pull/654</t>
  </si>
  <si>
    <t>Functional tests for questionnaire creation function</t>
  </si>
  <si>
    <t>https://github.com/expertiza/expertiza/pull/658</t>
  </si>
  <si>
    <t>Functional tests for assignment creation function</t>
  </si>
  <si>
    <t>Y (work beyond scope, unfinished requirements)</t>
  </si>
  <si>
    <t>https://github.com/expertiza/expertiza/pull/664</t>
  </si>
  <si>
    <t>Refactor &amp; write unit tests for [question_type].rb (eg. criterion.rb)</t>
  </si>
  <si>
    <t>Y (bad code, tests merged)</t>
  </si>
  <si>
    <t>https://github.com/expertiza/expertiza/pull/652</t>
  </si>
  <si>
    <t>Refactor team.rb, course_team.rb, and assignment_team.rb</t>
  </si>
  <si>
    <t>https://github.com/expertiza/expertiza/pull/666</t>
  </si>
  <si>
    <t>Refactor sign_up_sheet_controller.rb and sign_up_sheet.rb</t>
  </si>
  <si>
    <t>https://github.com/expertiza/expertiza/pull/661</t>
  </si>
  <si>
    <t>https://github.com/expertiza/expertiza/pull/657</t>
  </si>
  <si>
    <t>Y (limited refactoring done)</t>
  </si>
  <si>
    <t>https://github.com/expertiza/expertiza/pull/659</t>
  </si>
  <si>
    <t>https://github.com/expertiza/expertiza/pull/679</t>
  </si>
  <si>
    <t>Y(bad refactors)</t>
  </si>
  <si>
    <t>https://github.com/expertiza/expertiza/pull/671</t>
  </si>
  <si>
    <t>Functional tests for suggested topic function</t>
  </si>
  <si>
    <t>https://github.com/expertiza/expertiza/pull/690</t>
  </si>
  <si>
    <t>Show confidence ratings for grade, based on reputations of reviewers</t>
  </si>
  <si>
    <t>https://github.com/expertiza/expertiza/pull/677</t>
  </si>
  <si>
    <t>Badging system</t>
  </si>
  <si>
    <t>https://github.com/expertiza/expertiza/pull/673</t>
  </si>
  <si>
    <t>Visualization</t>
  </si>
  <si>
    <t>https://github.com/expertiza/expertiza/pull/678</t>
  </si>
  <si>
    <t>Performance improvement for Course &amp; Assignment Listing</t>
  </si>
  <si>
    <t>https://github.com/expertiza/expertiza/pull/676</t>
  </si>
  <si>
    <t>https://github.com/expertiza/expertiza/pull/681</t>
  </si>
  <si>
    <t>Collusion detection</t>
  </si>
  <si>
    <t>https://github.com/expertiza/expertiza/pull/680</t>
  </si>
  <si>
    <t>Refactoring response.rb and response_helper.rb</t>
  </si>
  <si>
    <t>https://github.com/expertiza/expertiza/pull/601</t>
  </si>
  <si>
    <t>Refactoring response_controller.rb</t>
  </si>
  <si>
    <t>https://github.com/expertiza/expertiza/pull/600</t>
  </si>
  <si>
    <t>Refactoring dynamic_review_assignment_helper.rb and dynamic_quiz_assignment_helper.rb</t>
  </si>
  <si>
    <t>https://github.com/expertiza/expertiza/pull/602</t>
  </si>
  <si>
    <t>Refactoring versions_controller.rb</t>
  </si>
  <si>
    <t>Y(bad code)</t>
  </si>
  <si>
    <t>https://github.com/expertiza/expertiza/pull/590</t>
  </si>
  <si>
    <t>Refactoring TeamsController.rb</t>
  </si>
  <si>
    <t>Y(bad test)</t>
  </si>
  <si>
    <t>https://github.com/expertiza/expertiza/pull/614</t>
  </si>
  <si>
    <t>Refactoring Team.rb</t>
  </si>
  <si>
    <t>https://github.com/expertiza/expertiza/pull/585</t>
  </si>
  <si>
    <t>Refactoring SuggestionController.rb</t>
  </si>
  <si>
    <t>https://github.com/expertiza/expertiza/pull/595</t>
  </si>
  <si>
    <t>Refactoring SignUpSheetController.rb and SignUpSheet.rb</t>
  </si>
  <si>
    <t>https://github.com/expertiza/expertiza/pull/605</t>
  </si>
  <si>
    <t>Refactoring ReviewResponseMap.rb</t>
  </si>
  <si>
    <t>https://github.com/expertiza/expertiza/pull/619</t>
  </si>
  <si>
    <t>Refactoring JoinTeamRequestsController and InvitationController</t>
  </si>
  <si>
    <t>https://github.com/expertiza/expertiza/pull/589</t>
  </si>
  <si>
    <t>Refactoring PopUpController and ParticipantsController</t>
  </si>
  <si>
    <t>https://github.com/expertiza/expertiza/pull/607</t>
  </si>
  <si>
    <t>Refactoring due_date.rb and deadline_helper.rb</t>
  </si>
  <si>
    <t>https://github.com/expertiza/expertiza/pull/612</t>
  </si>
  <si>
    <t>Refactoring AssignmentParticipant model</t>
  </si>
  <si>
    <t>https://github.com/expertiza/expertiza/pull/603</t>
  </si>
  <si>
    <t>Refactoring the Questionnaires Controller</t>
  </si>
  <si>
    <t>https://github.com/expertiza/expertiza/pull/610</t>
  </si>
  <si>
    <t>Refactoring admin_controller and course_controller</t>
  </si>
  <si>
    <t>https://github.com/expertiza/expertiza/pull/596</t>
  </si>
  <si>
    <t>Refactoring GradesController and GradesHelper</t>
  </si>
  <si>
    <t>https://github.com/expertiza/expertiza/pull/599</t>
  </si>
  <si>
    <t>Refactoring User and UsersController</t>
  </si>
  <si>
    <t>https://github.com/expertiza/expertiza/pull/609</t>
  </si>
  <si>
    <t>Remove AnswersController</t>
  </si>
  <si>
    <t>https://github.com/expertiza/expertiza/pull/584</t>
  </si>
  <si>
    <t>Refactor ReviewMappingController</t>
  </si>
  <si>
    <t>https://github.com/expertiza/expertiza/pull/591</t>
  </si>
  <si>
    <t>Refactor TreeDisplayController</t>
  </si>
  <si>
    <t>https://github.com/expertiza/expertiza/pull/592</t>
  </si>
  <si>
    <t>Refactoring AssignmentsController and AssignmentForm</t>
  </si>
  <si>
    <t>https://github.com/expertiza/expertiza/pull/587</t>
  </si>
  <si>
    <t>Feature Test for Assignment Creation via instructor</t>
  </si>
  <si>
    <t>https://github.com/expertiza/expertiza/pull/608</t>
  </si>
  <si>
    <t>Unit Test for Assignment model</t>
  </si>
  <si>
    <t xml:space="preserve"> 冤案</t>
  </si>
  <si>
    <t>https://github.com/expertiza/expertiza/pull/616</t>
  </si>
  <si>
    <t>https://github.com/expertiza/expertiza/pull/615</t>
  </si>
  <si>
    <t>https://github.com/expertiza/expertiza/pull/629</t>
  </si>
  <si>
    <t>https://github.com/expertiza/expertiza/pull/636</t>
  </si>
  <si>
    <t>https://github.com/expertiza/expertiza/pull/637</t>
  </si>
  <si>
    <t>https://github.com/expertiza/expertiza/pull/632</t>
  </si>
  <si>
    <t>https://github.com/expertiza/expertiza/pull/641</t>
  </si>
  <si>
    <t>https://github.com/expertiza/expertiza/pull/640</t>
  </si>
  <si>
    <t>https://github.com/expertiza/expertiza/pull/642</t>
  </si>
  <si>
    <t>https://github.com/expertiza/expertiza/pull/638</t>
  </si>
  <si>
    <t>https://github.com/expertiza/expertiza/pull/643</t>
  </si>
  <si>
    <t>https://github.com/expertiza/expertiza/pull/635</t>
  </si>
  <si>
    <t>https://github.com/expertiza/expertiza/pull/628</t>
  </si>
  <si>
    <t>https://github.com/expertiza/expertiza/pull/624</t>
  </si>
  <si>
    <t>https://github.com/expertiza/expertiza/pull/639</t>
  </si>
  <si>
    <t>https://github.com/expertiza/expertiza/pull/625</t>
  </si>
  <si>
    <t>https://github.com/expertiza/expertiza/pull/626</t>
  </si>
  <si>
    <t>Refactoring assignment.rb</t>
  </si>
  <si>
    <t xml:space="preserve"> Y(ff)</t>
  </si>
  <si>
    <t>https://github.com/expertiza/expertiza/pull/510</t>
  </si>
  <si>
    <t>https://github.com/expertiza/expertiza/pull/530</t>
  </si>
  <si>
    <t>Refactoring and improving the Leaderboard model</t>
  </si>
  <si>
    <t>https://github.com/expertiza/expertiza/pull/507</t>
  </si>
  <si>
    <t>Refactoring the Bookmark model</t>
  </si>
  <si>
    <t>https://github.com/expertiza/expertiza/pull/508</t>
  </si>
  <si>
    <t>https://github.com/expertiza/expertiza/pull/509</t>
  </si>
  <si>
    <t>Refactoring, testing and new features related to users</t>
  </si>
  <si>
    <t>https://github.com/expertiza/expertiza/pull/505</t>
  </si>
  <si>
    <t>Refactoring Review Files Controller</t>
  </si>
  <si>
    <t>https://github.com/expertiza/expertiza/pull/528</t>
  </si>
  <si>
    <t>Refactoring ResponseController</t>
  </si>
  <si>
    <t>https://github.com/expertiza/expertiza/pull/506</t>
  </si>
  <si>
    <t>Refactoring SignUpController and SignUpSheetController</t>
  </si>
  <si>
    <t>https://github.com/expertiza/expertiza/pull/531</t>
  </si>
  <si>
    <t>Fix Instructor Login Performance Issue</t>
  </si>
  <si>
    <t>https://github.com/expertiza/expertiza/pull/533</t>
  </si>
  <si>
    <t>https://github.com/expertiza/expertiza/pull/548</t>
  </si>
  <si>
    <t>Refactor staggered-deadline assignments</t>
  </si>
  <si>
    <t>https://github.com/expertiza/expertiza/pull/541</t>
  </si>
  <si>
    <t>Teaming information and analytics</t>
  </si>
  <si>
    <t>Y (feature only worked once in demo)</t>
  </si>
  <si>
    <t>https://github.com/expertiza/expertiza/pull/547</t>
  </si>
  <si>
    <t>Responsive web design for Expertiza</t>
  </si>
  <si>
    <t>Y (we suggested them use angular JS, but it didn't work well)</t>
  </si>
  <si>
    <t>https://github.com/expertiza/expertiza/pull/546</t>
  </si>
  <si>
    <t>Extend the Email notification feature to scheduled tasks</t>
  </si>
  <si>
    <t>Y (not sure it is still working...)</t>
  </si>
  <si>
    <t>https://github.com/expertiza/expertiza/pull/544</t>
  </si>
  <si>
    <t>Different rubrics for different rounds: UI change</t>
  </si>
  <si>
    <t>https://github.com/expertiza/expertiza/pull/459</t>
  </si>
  <si>
    <t>Create Mailers for all e-mail messages</t>
  </si>
  <si>
    <t>https://github.com/expertiza/expertiza/pull/451</t>
  </si>
  <si>
    <t>Refactoring AssignmentTeam and CourseTeam models</t>
  </si>
  <si>
    <t>Y (we help them learn common terminologies, like member/participant)</t>
  </si>
  <si>
    <t>https://github.com/expertiza/expertiza/pull/443</t>
  </si>
  <si>
    <t>Refactoring AssignmentsController</t>
  </si>
  <si>
    <t>https://github.com/expertiza/expertiza/pull/433</t>
  </si>
  <si>
    <t>Refactoring the Chart helper</t>
  </si>
  <si>
    <t>https://github.com/expertiza/expertiza/pull/439</t>
  </si>
  <si>
    <t>Refactoring QuestionnairesController</t>
  </si>
  <si>
    <t>https://github.com/expertiza/expertiza/pull/438</t>
  </si>
  <si>
    <t>Refactoring ReportsController</t>
  </si>
  <si>
    <t>https://github.com/expertiza/expertiza/pull/446</t>
  </si>
  <si>
    <t>https://github.com/expertiza/expertiza/pull/435</t>
  </si>
  <si>
    <t>Refactoring SignupController</t>
  </si>
  <si>
    <t>https://github.com/expertiza/expertiza/pull/442</t>
  </si>
  <si>
    <t>Refactoring StudentQuiz controller</t>
  </si>
  <si>
    <t>Y (we blamed them not being "ambitious enough", we didnt give enough requirements)</t>
  </si>
  <si>
    <t>https://github.com/expertiza/expertiza/pull/447</t>
  </si>
  <si>
    <t>Refactoring StudentTeamController</t>
  </si>
  <si>
    <t>https://github.com/expertiza/expertiza/pull/431</t>
  </si>
  <si>
    <t>Refactoring SurveyResponseController</t>
  </si>
  <si>
    <t>https://github.com/expertiza/expertiza/pull/448</t>
  </si>
  <si>
    <t>Refactoring TreeDisplayController</t>
  </si>
  <si>
    <t>https://github.com/expertiza/expertiza/pull/449</t>
  </si>
  <si>
    <t>Refactoring User model</t>
  </si>
  <si>
    <t>https://github.com/expertiza/expertiza/pull/441</t>
  </si>
  <si>
    <t>Refactoring UsersController</t>
  </si>
  <si>
    <t>https://github.com/expertiza/expertiza/pull/434</t>
  </si>
  <si>
    <t>Refactoring GradesController</t>
  </si>
  <si>
    <t>https://github.com/expertiza/expertiza/pull/436</t>
  </si>
  <si>
    <t>Refactoring LeaderBoard model</t>
  </si>
  <si>
    <t>Y (and later broken)</t>
  </si>
  <si>
    <t>Y(cc, java-like code)</t>
  </si>
  <si>
    <t>https://github.com/expertiza/expertiza/pull/444</t>
  </si>
  <si>
    <t>https://github.com/expertiza/expertiza/pull/458</t>
  </si>
  <si>
    <t>Information display and student interaction</t>
  </si>
  <si>
    <t>Y (we said what we need, but we didnt say how we want it)</t>
  </si>
  <si>
    <t>https://github.com/expertiza/expertiza/pull/466</t>
  </si>
  <si>
    <t>Connect changes to score model with changes to score views (merge E1466 and more)</t>
  </si>
  <si>
    <t>https://github.com/expertiza/expertiza/pull/469</t>
  </si>
  <si>
    <t>SSL authentication</t>
  </si>
  <si>
    <t>https://github.com/expertiza/expertiza/pull/461</t>
  </si>
  <si>
    <t>https://github.com/expertiza/expertiza/pull/460</t>
  </si>
  <si>
    <t>Improve review assignment</t>
  </si>
  <si>
    <t>https://github.com/expertiza/expertiza/pull/471</t>
  </si>
  <si>
    <t>Time zones</t>
  </si>
  <si>
    <t>https://github.com/expertiza/expertiza/pull/464</t>
  </si>
  <si>
    <t>Parsing of logging data</t>
  </si>
  <si>
    <t>https://github.com/expertiza/expertiza/pull/462</t>
  </si>
  <si>
    <t>Test the student interface using capybara and rspec</t>
  </si>
  <si>
    <t>https://github.com/expertiza/expertiza/pull/468</t>
  </si>
  <si>
    <t>Rewrite Project E1401 (merge 7 oss)</t>
  </si>
  <si>
    <t>https://github.com/expertiza/expertiza/pull/457</t>
  </si>
  <si>
    <t>Merge some OSS projects (merge 5 oss)</t>
  </si>
  <si>
    <t>https://github.com/expertiza/expertiza/pull/465</t>
  </si>
  <si>
    <t>Form object for Assignments</t>
  </si>
  <si>
    <t>https://github.com/expertiza/expertiza/pull/412</t>
  </si>
  <si>
    <t>Fix review strategies</t>
  </si>
  <si>
    <t>Y (even merge conflicts in pull request)</t>
  </si>
  <si>
    <t>https://github.com/expertiza/expertiza/pull/414</t>
  </si>
  <si>
    <t>Improvements to View Scores</t>
  </si>
  <si>
    <t>Y (no fork)</t>
  </si>
  <si>
    <t>No fork...</t>
  </si>
  <si>
    <t>Improve tests &amp; investigate regex warnings for student_task</t>
  </si>
  <si>
    <t>Improve tests &amp; investigate regex warnings for team functionality</t>
  </si>
  <si>
    <t>https://github.com/expertiza/expertiza/pull/411</t>
  </si>
  <si>
    <t>https://github.com/expertiza/expertiza/pull/416</t>
  </si>
  <si>
    <t>Reconcile View Scores and Review Reports</t>
  </si>
  <si>
    <t>https://github.com/expertiza/expertiza/pull/410</t>
  </si>
  <si>
    <t>Y (OSS 被拒final继续用同一个PR)</t>
  </si>
  <si>
    <t>Refactoring and testing--assignments_controller</t>
  </si>
  <si>
    <t>https://github.com/expertiza/expertiza/pull/357</t>
  </si>
  <si>
    <t>Refactoring and testing--sign_up_sheet_controller</t>
  </si>
  <si>
    <t>https://github.com/expertiza/expertiza/pull/369</t>
  </si>
  <si>
    <t>Refactoring and testing--signup_sheet model</t>
  </si>
  <si>
    <t>https://github.com/expertiza/expertiza/pull/350</t>
  </si>
  <si>
    <t>A way to query db models to return scores, without UI changes</t>
  </si>
  <si>
    <t>Y (bad design, score view-like stuff added)</t>
  </si>
  <si>
    <t>https://github.com/expertiza/expertiza/pull/363</t>
  </si>
  <si>
    <t>UI changes for reporting scores</t>
  </si>
  <si>
    <t>Remove ResponseMaps</t>
  </si>
  <si>
    <t>Y (we designed this)</t>
  </si>
  <si>
    <t>https://github.com/expertiza/expertiza/pull/376</t>
  </si>
  <si>
    <t>Refactoring and testing--response_controller.rb</t>
  </si>
  <si>
    <t>https://github.com/expertiza/expertiza/pull/356</t>
  </si>
  <si>
    <t>Refactor and test Participant, AssignmentParticipant, and CourseParticipant</t>
  </si>
  <si>
    <t>https://github.com/expertiza/expertiza/pull/359</t>
  </si>
  <si>
    <t>TreeDisplay</t>
  </si>
  <si>
    <t>https://github.com/expertiza/expertiza/pull/353</t>
  </si>
  <si>
    <t>Regularize staggered-deadline assignments</t>
  </si>
  <si>
    <t>Y(no fork)</t>
  </si>
  <si>
    <t>Refactor and test submitted_content_controller and submitted_content_helper</t>
  </si>
  <si>
    <t>Turn automated_metareviews folder into a gem.</t>
  </si>
  <si>
    <t>Refactoring and testing--degree_of_relevance.rb</t>
  </si>
  <si>
    <t>Refactoring and testing--graph_generator.rb</t>
  </si>
  <si>
    <t>https://github.com/expertiza/expertiza/pull/362</t>
  </si>
  <si>
    <t>Refactoring and testing--wordnet_based_similarity.rb</t>
  </si>
  <si>
    <t>Refactoring and testing--plagiarism_checker.rb and sentence_state.rb</t>
  </si>
  <si>
    <t>https://github.com/expertiza/expertiza/pull/361</t>
  </si>
  <si>
    <t>Intelligent assignment of teams (extds E708)</t>
  </si>
  <si>
    <t>https://github.com/expertiza/expertiza/pull/379</t>
  </si>
  <si>
    <t>https://github.com/expertiza/expertiza/pull/380</t>
  </si>
  <si>
    <t>https://github.com/expertiza/expertiza/pull/382</t>
  </si>
  <si>
    <t>Y(cc hardcode stuff)</t>
  </si>
  <si>
    <t>Y (we are not happy with their design)</t>
  </si>
  <si>
    <t>https://github.com/expertiza/expertiza/pull/378</t>
  </si>
  <si>
    <t>https://github.com/expertiza/expertiza/pull/394</t>
  </si>
  <si>
    <t>Integration &amp; testing A: Social bookmarking (redo E710)</t>
  </si>
  <si>
    <t>Y (oversized, also)</t>
  </si>
  <si>
    <t>https://github.com/expertiza/expertiza/pull/393</t>
  </si>
  <si>
    <t>Integration &amp; testing B: Reviewing functionality (Extend E712)</t>
  </si>
  <si>
    <t>Y (also oversized)</t>
  </si>
  <si>
    <t>https://github.com/expertiza/expertiza/pull/385</t>
  </si>
  <si>
    <t>Integration &amp; testing C: Reputation system, penalty wizard (730 731)</t>
  </si>
  <si>
    <t>https://github.com/expertiza/expertiza/pull/381</t>
  </si>
  <si>
    <t>Integration &amp; testing D: Info display &amp; student interaction (merge E707 715)</t>
  </si>
  <si>
    <t>https://github.com/expertiza/expertiza/pull/397</t>
  </si>
  <si>
    <t>Y(both, make view_my_score page 10 times slower!)</t>
  </si>
  <si>
    <t>https://github.com/expertiza/expertiza/pull/390</t>
  </si>
  <si>
    <t>https://github.com/expertiza/expertiza/pull/389</t>
  </si>
  <si>
    <t>Y (cc, huge amount of white space changes)</t>
  </si>
  <si>
    <t>https://github.com/expertiza/expertiza/pull/383</t>
  </si>
  <si>
    <t>Y (oversized, tho)</t>
  </si>
  <si>
    <t>https://github.com/expertiza/expertiza/pull/388</t>
  </si>
  <si>
    <t>https://github.com/expertiza/expertiza/pull/387</t>
  </si>
  <si>
    <t>https://github.com/expertiza/expertiza/pull/386</t>
  </si>
  <si>
    <t>Cucumber testing and code coverage</t>
  </si>
  <si>
    <t>Refactoring - questionnaire</t>
  </si>
  <si>
    <t>https://github.com/expertiza/expertiza/pull/260</t>
  </si>
  <si>
    <t>Testing - questionnaire</t>
  </si>
  <si>
    <t>We switched to factory girl..</t>
  </si>
  <si>
    <t>https://github.com/expertiza/expertiza/pull/261</t>
  </si>
  <si>
    <t>Refactoring and testing - course</t>
  </si>
  <si>
    <t>https://github.com/expertiza/expertiza/pull/263</t>
  </si>
  <si>
    <t>Integrating game frontend for Expertiza</t>
  </si>
  <si>
    <t>Better display of review information</t>
  </si>
  <si>
    <t>Y(we didnt told them about score cashe, and this team didnt update that)</t>
  </si>
  <si>
    <t>https://github.com/expertiza/expertiza/pull/300</t>
  </si>
  <si>
    <t>Reputation system</t>
  </si>
  <si>
    <t>https://github.com/expertiza/expertiza/pull/276</t>
  </si>
  <si>
    <t>Analytics</t>
  </si>
  <si>
    <t>Y (look good on demo, but the code was badly-writen)</t>
  </si>
  <si>
    <t>https://github.com/expertiza/expertiza/pull/274</t>
  </si>
  <si>
    <t>Undo</t>
  </si>
  <si>
    <t>Y (limited work done)</t>
  </si>
  <si>
    <t>https://github.com/expertiza/expertiza/pull/277</t>
  </si>
  <si>
    <t>Refactoring and Testing - Team</t>
  </si>
  <si>
    <t>https://github.com/expertiza/expertiza/pull/224</t>
  </si>
  <si>
    <t>Refactoring and Testing - Participant</t>
  </si>
  <si>
    <t>Refactoring - response</t>
  </si>
  <si>
    <t>Testing - response</t>
  </si>
  <si>
    <t>E604A</t>
  </si>
  <si>
    <t>Refactoring - response_map</t>
  </si>
  <si>
    <t>Testing - response_map</t>
  </si>
  <si>
    <t>https://github.com/expertiza/expertiza/pull/287</t>
  </si>
  <si>
    <t>Refactoring and Testing - 360 degree assessment</t>
  </si>
  <si>
    <t>Refactoring - assignment</t>
  </si>
  <si>
    <t>Testing - assignment</t>
  </si>
  <si>
    <t>Refactoring and Testing - course</t>
  </si>
  <si>
    <t>Refactoring - users</t>
  </si>
  <si>
    <t>Testing - users</t>
  </si>
  <si>
    <t>Refactoring and Testing - score</t>
  </si>
  <si>
    <t>Refactoring and Testing - signed_up_user and sign_up_topic</t>
  </si>
  <si>
    <t>Refactoring - sign_up_sheet_controller</t>
  </si>
  <si>
    <t>Testing - sign_up_sheet_controller</t>
  </si>
  <si>
    <t xml:space="preserve">Refactoring - student_review_controller and student_task_controller </t>
  </si>
  <si>
    <t>Testing - student_review_controller and student_task_controller</t>
  </si>
  <si>
    <t>Refactoring and Testing - grades</t>
  </si>
  <si>
    <t>Refactoring and Testing - wiki</t>
  </si>
  <si>
    <t>Refactoring and Testing - leaderboard</t>
  </si>
  <si>
    <t>Refactoring and Testing (misc classes)</t>
  </si>
  <si>
    <t>Refactoring - dynamic_review_mapping</t>
  </si>
  <si>
    <t>Testing - dynamic_review_mapping</t>
  </si>
  <si>
    <t>Refactoring (misc files)</t>
  </si>
  <si>
    <t>Testing (misc files)</t>
  </si>
  <si>
    <t>Refactoring - Miscellaneous helper classes</t>
  </si>
  <si>
    <t>Testing - Miscellaneous helper classes</t>
  </si>
  <si>
    <t>Testing - Functional tests for the participants controller</t>
  </si>
  <si>
    <t>Updating invite teams functionality to prevent two teams from being formed with the same set of students</t>
  </si>
  <si>
    <t>https://github.com/expertiza/expertiza/pull/244</t>
  </si>
  <si>
    <t>Integrate the score cache &amp; build appropriate db indexes to greatly speed up score reports</t>
  </si>
  <si>
    <t>Improvements to custom rubrics</t>
  </si>
  <si>
    <t>Self, manager, role-based reviewing.</t>
  </si>
  <si>
    <t>Penalties (New Functionality)</t>
  </si>
  <si>
    <t>Submitting Google docs to Expertiza</t>
  </si>
  <si>
    <t>Workflow management and event list</t>
  </si>
  <si>
    <t>N/A</t>
  </si>
  <si>
    <t>Credit for voluntary work (micro task)</t>
  </si>
  <si>
    <t>https://github.com/expertiza/expertiza/pull/234</t>
  </si>
  <si>
    <t>Date/time functionality</t>
  </si>
  <si>
    <t>Y (no fork, but good feature)</t>
  </si>
  <si>
    <t>Tabbed assignment creation (and a tabbing infrastructure for other screens)</t>
  </si>
  <si>
    <t>https://github.com/expertiza/expertiza/pull/269</t>
  </si>
  <si>
    <t>Better display for assignments</t>
  </si>
  <si>
    <t>Lottery system for assignment signup sheets</t>
  </si>
  <si>
    <t>should be extended further (done in 13 fall)</t>
  </si>
  <si>
    <t>https://github.com/expertiza/expertiza/pull/231</t>
  </si>
  <si>
    <t>Extensions to last year's Enhancements to wiki-textbook functionality</t>
  </si>
  <si>
    <t>Social bookmarking</t>
  </si>
  <si>
    <t>Nonlinear scoring for teammate reviews</t>
  </si>
  <si>
    <t>https://github.com/expertiza/expertiza/pull/237</t>
  </si>
  <si>
    <t>Improvement to last year's Code review project</t>
  </si>
  <si>
    <t>https://github.com/expertiza/expertiza/pull/238</t>
  </si>
  <si>
    <t>Further progress on custom rubrics</t>
  </si>
  <si>
    <t>https://github.com/expertiza/expertiza/pull/265</t>
  </si>
  <si>
    <t>Dashboard for students</t>
  </si>
  <si>
    <t>360-degree assessment</t>
  </si>
  <si>
    <t>Merging 1</t>
  </si>
  <si>
    <t>Merging 2</t>
  </si>
  <si>
    <t>https://github.com/expertiza/expertiza/pull/236</t>
  </si>
  <si>
    <t>Merging 3</t>
  </si>
  <si>
    <t>Module to take reports on interactions with other groups</t>
  </si>
  <si>
    <t>https://github.com/expertiza/expertiza/pull/232</t>
  </si>
  <si>
    <t>Fix review versioning</t>
  </si>
  <si>
    <t>https://github.com/expertiza/expertiza/pull/235</t>
  </si>
  <si>
    <t>Improvements to assignment_controller</t>
  </si>
  <si>
    <t>Cucumber tests</t>
  </si>
  <si>
    <t>https://github.com/expertiza/expertiza/pull/233</t>
  </si>
  <si>
    <t>Extensions to self manager and role based reviewing</t>
  </si>
  <si>
    <t>Display of users</t>
  </si>
  <si>
    <t>Penalty wizard</t>
  </si>
  <si>
    <t>https://github.com/expertiza/expertiza/pull/229</t>
  </si>
  <si>
    <t>Data mining</t>
  </si>
  <si>
    <t>Id</t>
  </si>
  <si>
    <t>Url</t>
  </si>
  <si>
    <t>Common mistakes</t>
  </si>
  <si>
    <t>1.Bad Naming</t>
  </si>
  <si>
    <t>2.Hardcoding</t>
  </si>
  <si>
    <t>3.Comments</t>
  </si>
  <si>
    <t>4.Duplicated Code</t>
  </si>
  <si>
    <t>5.Switch Statements</t>
  </si>
  <si>
    <t>6.Long Method</t>
  </si>
  <si>
    <t>7.Failing Functions</t>
  </si>
  <si>
    <t>8.Not Following the Existing Design</t>
  </si>
  <si>
    <t>9.Over-designed Features</t>
  </si>
  <si>
    <t>10.Shallow/no Tests</t>
  </si>
  <si>
    <t>11.Limited modifications</t>
  </si>
  <si>
    <t>12.Messy pull requests</t>
  </si>
  <si>
    <t>13.No Pull Request and Not Forked</t>
  </si>
  <si>
    <t>14.Bad specification</t>
  </si>
  <si>
    <t>15. Security ?</t>
  </si>
  <si>
    <t>https://github.com/expertiza/expertiza/pull/1159</t>
  </si>
  <si>
    <t>Bidding tests</t>
  </si>
  <si>
    <t>no chooser</t>
  </si>
  <si>
    <t>Feature test of rubric advice</t>
  </si>
  <si>
    <t>https://github.com/expertiza/expertiza/pull/1160</t>
  </si>
  <si>
    <t>https://github.com/expertiza/expertiza/pull/1144</t>
  </si>
  <si>
    <t>OSS project Yellow: Topic management</t>
  </si>
  <si>
    <t>https://github.com/expertiza/expertiza/pull/1165</t>
  </si>
  <si>
    <t>Convolutional data extraction from Github</t>
  </si>
  <si>
    <t>https://github.com/expertiza/expertiza/pull/1158</t>
  </si>
  <si>
    <t>https://github.com/expertiza/expertiza/pull/1153</t>
  </si>
  <si>
    <t>OSS project Bronze: Score calculations</t>
  </si>
  <si>
    <t>https://github.com/expertiza/expertiza/pull/1146</t>
  </si>
  <si>
    <t>https://github.com/expertiza/expertiza/pull/1169</t>
  </si>
  <si>
    <t>Show sample submissions and reviews</t>
  </si>
  <si>
    <t>Write unit tests for review_response_map.rb</t>
  </si>
  <si>
    <t>E1812</t>
  </si>
  <si>
    <t>https://github.com/expertiza/expertiza/pull/1156</t>
  </si>
  <si>
    <t>[With test skeleton] Write unit tests for on_the_fly_calc.rb</t>
  </si>
  <si>
    <t>https://github.com/expertiza/expertiza/pull/1168</t>
  </si>
  <si>
    <t>Write unit tests for on_the_fly_calc.rb</t>
  </si>
  <si>
    <t>E1813</t>
  </si>
  <si>
    <t>https://github.com/expertiza/expertiza/pull/1152</t>
  </si>
  <si>
    <t>[With test skeleton] Write unit tests for menu_item.rb</t>
  </si>
  <si>
    <t>partially</t>
  </si>
  <si>
    <t>https://github.com/expertiza/expertiza/pull/1161</t>
  </si>
  <si>
    <t>Write unit tests for menu_item.rb</t>
  </si>
  <si>
    <t>E1814</t>
  </si>
  <si>
    <t>https://github.com/expertiza/expertiza/pull/1154</t>
  </si>
  <si>
    <t>[With test skeleton] Write unit tests for collusion_cycle.rb</t>
  </si>
  <si>
    <t>https://github.com/expertiza/expertiza/pull/1155</t>
  </si>
  <si>
    <t>Write unit tests for collusion_cycle.rb</t>
  </si>
  <si>
    <t>https://github.com/expertiza/expertiza/pull/1179</t>
  </si>
  <si>
    <t>Y (plan to merge)</t>
  </si>
  <si>
    <t>E1815.1</t>
  </si>
  <si>
    <t>https://github.com/expertiza/expertiza/pull/1180</t>
  </si>
  <si>
    <t>https://github.com/expertiza/expertiza/pull/1167</t>
  </si>
  <si>
    <t>E1817</t>
  </si>
  <si>
    <t>https://github.com/expertiza/expertiza/pull/1178</t>
  </si>
  <si>
    <t>https://github.com/expertiza/expertiza/pull/1181</t>
  </si>
  <si>
    <t>https://github.com/expertiza/expertiza/pull/1183</t>
  </si>
  <si>
    <t>https://github.com/expertiza/expertiza/pull/1175</t>
  </si>
  <si>
    <t>Review-comment tone-analysis report</t>
  </si>
  <si>
    <t>https://github.com/expertiza/expertiza/pull/1177</t>
  </si>
  <si>
    <t>Regularize Expertiza DB schema</t>
  </si>
  <si>
    <t>https://github.com/expertiza/expertiza/pull/1176</t>
  </si>
  <si>
    <t>Extend the functionality of badging</t>
  </si>
  <si>
    <t>https://github.com/expertiza/expertiza/pull/1172</t>
  </si>
  <si>
    <t>Write integration tests for users_controller.rb</t>
  </si>
  <si>
    <t>https://github.com/expertiza/expertiza/pull/1182</t>
  </si>
  <si>
    <t>https://github.com/expertiza/expertiza/pull/1025</t>
  </si>
  <si>
    <t>[TLD] Refactor response_controller.rb</t>
  </si>
  <si>
    <t>https://github.com/expertiza/expertiza/pull/1071</t>
  </si>
  <si>
    <t>[TFD] Refactor user.rb</t>
  </si>
  <si>
    <t>https://github.com/expertiza/expertiza/pull/1075</t>
  </si>
  <si>
    <t>[TLD] Refactor sign_up_sheet_controller.rb</t>
  </si>
  <si>
    <t>https://github.com/expertiza/expertiza/pull/1056</t>
  </si>
  <si>
    <t>https://github.com/expertiza/expertiza/pull/1060</t>
  </si>
  <si>
    <t>[TFD] Refactor questionnaires_controller.rb</t>
  </si>
  <si>
    <t>https://github.com/expertiza/expertiza/pull/1069</t>
  </si>
  <si>
    <t>[TFD] Refactor review_mapping_controller.rb</t>
  </si>
  <si>
    <t>Test assignments_questionnaires</t>
  </si>
  <si>
    <t>https://github.com/expertiza/expertiza/pull/1024</t>
  </si>
  <si>
    <t>[TFD] Refactor assignments_controller.rb</t>
  </si>
  <si>
    <t>https://github.com/expertiza/expertiza/pull/1052</t>
  </si>
  <si>
    <t>https://github.com/expertiza/expertiza/pull/1046</t>
  </si>
  <si>
    <t>Test student_task.rb and student_task_controller.rb</t>
  </si>
  <si>
    <t>https://github.com/expertiza/expertiza/pull/1047</t>
  </si>
  <si>
    <t>[TLD] Refactor response.rb</t>
  </si>
  <si>
    <t>https://github.com/expertiza/expertiza/pull/1032</t>
  </si>
  <si>
    <t>https://github.com/expertiza/expertiza/pull/1048</t>
  </si>
  <si>
    <t>https://github.com/expertiza/expertiza/pull/1051</t>
  </si>
  <si>
    <t>Test surveys and survey deployment</t>
  </si>
  <si>
    <t>Test ta.rb, instructor.rb, and users_controller.rb</t>
  </si>
  <si>
    <t>https://github.com/expertiza/expertiza/pull/1021</t>
  </si>
  <si>
    <t>[TFD] Refactor assignment.rb</t>
  </si>
  <si>
    <t>https://github.com/expertiza/expertiza/pull/1050</t>
  </si>
  <si>
    <t>Test various kinds of response-map hierarchies</t>
  </si>
  <si>
    <t>https://github.com/expertiza/expertiza/pull/1055</t>
  </si>
  <si>
    <t>Fix staggered-deadline assignments</t>
  </si>
  <si>
    <t>https://github.com/expertiza/expertiza/pull/1036</t>
  </si>
  <si>
    <t>[TLD] Refactor grades_controller.rb</t>
  </si>
  <si>
    <t>https://github.com/expertiza/expertiza/pull/1061</t>
  </si>
  <si>
    <t>[OSS project Brown: was E1715, should be updated] Rubrics</t>
  </si>
  <si>
    <t>https://github.com/expertiza/expertiza/pull/1066</t>
  </si>
  <si>
    <t>https://github.com/expertiza/expertiza/pull/1063</t>
  </si>
  <si>
    <t>https://github.com/expertiza/expertiza/pull/1037</t>
  </si>
  <si>
    <t>[TLD] Refactor assignment_form.rb</t>
  </si>
  <si>
    <t>https://github.com/expertiza/expertiza/pull/1049</t>
  </si>
  <si>
    <t>[TFD] Refactor assignment_participant.rb</t>
  </si>
  <si>
    <t>https://github.com/expertiza/expertiza/pull/1043</t>
  </si>
  <si>
    <t>[TLD] Refactor team.rb</t>
  </si>
  <si>
    <t>https://github.com/expertiza/expertiza/pull/1027</t>
  </si>
  <si>
    <t>https://github.com/expertiza/expertiza/pull/1031</t>
  </si>
  <si>
    <t>Investigate and Fix Expertiza Production Version Runtime Exceptions</t>
  </si>
  <si>
    <t>OSS project Pink: Metareview fixes and improvements</t>
  </si>
  <si>
    <t>OSS project Duke Blue: Fix import glitches</t>
  </si>
  <si>
    <t>https://github.com/expertiza/expertiza/pull/1044</t>
  </si>
  <si>
    <t>OSS project Carolina Blue: Import enhancements</t>
  </si>
  <si>
    <t>https://github.com/expertiza/expertiza/pull/1059</t>
  </si>
  <si>
    <t>OSS Project Green: Coherent specification of review requirements</t>
  </si>
  <si>
    <t>https://github.com/expertiza/expertiza/pull/1136</t>
  </si>
  <si>
    <t>OSS project Purple: UI fixes for assignment creation</t>
  </si>
  <si>
    <t>https://github.com/expertiza/expertiza/pull/1028</t>
  </si>
  <si>
    <t>OSS Burgundy: Fix teammate advertisements and requests to join a team</t>
  </si>
  <si>
    <t>https://github.com/expertiza/expertiza/pull/1042</t>
  </si>
  <si>
    <t>OSS project Teal: Email notification enhancements</t>
  </si>
  <si>
    <t>https://github.com/expertiza/expertiza/pull/1040</t>
  </si>
  <si>
    <t>https://github.com/expertiza/expertiza/pull/1070</t>
  </si>
  <si>
    <t>OSS Project Red: Assignment directories</t>
  </si>
  <si>
    <t>https://github.com/expertiza/expertiza/pull/1053</t>
  </si>
  <si>
    <t>https://github.com/expertiza/expertiza/pull/1018</t>
  </si>
  <si>
    <t>Fix mass assignments reported by Brakeman</t>
  </si>
  <si>
    <t>https://github.com/expertiza/expertiza/pull/1078</t>
  </si>
  <si>
    <t>OSS project Beige: UI features related to revision time.</t>
  </si>
  <si>
    <t>https://github.com/expertiza/expertiza/pull/1039</t>
  </si>
  <si>
    <t>https://github.com/expertiza/expertiza/pull/1058</t>
  </si>
  <si>
    <t>https://github.com/expertiza/expertiza/pull/1135</t>
  </si>
  <si>
    <t>OSS project Maroon: Heatmap fixes</t>
  </si>
  <si>
    <t>https://github.com/expertiza/expertiza/pull/1130</t>
  </si>
  <si>
    <t>Text metrics (redo in Zach's framework)</t>
  </si>
  <si>
    <t>https://github.com/expertiza/expertiza/pull/1124</t>
  </si>
  <si>
    <t>Track the time that students look at the other submissions --&gt; logging improvement</t>
  </si>
  <si>
    <t>E1793</t>
  </si>
  <si>
    <t>https://github.com/expertiza/expertiza/pull/1107</t>
  </si>
  <si>
    <t>[TDD] Help students find teams to join</t>
  </si>
  <si>
    <t>https://github.com/expertiza/expertiza/pull/1129</t>
  </si>
  <si>
    <t>Help students find teams to join</t>
  </si>
  <si>
    <t>redone by Zhewei</t>
  </si>
  <si>
    <t>https://github.com/expertiza/expertiza/pull/1113</t>
  </si>
  <si>
    <t>Single signon for Peerlogic web services (WS integration)</t>
  </si>
  <si>
    <t>https://github.com/expertiza/expertiza/pull/1116</t>
  </si>
  <si>
    <t>Unify Create Assignment and Edit Assignment pages</t>
  </si>
  <si>
    <t>E1797</t>
  </si>
  <si>
    <t>https://github.com/expertiza/expertiza/pull/1110</t>
  </si>
  <si>
    <t>[TDD] Timestamps for students' submissions</t>
  </si>
  <si>
    <t>https://github.com/expertiza/expertiza/pull/1133</t>
  </si>
  <si>
    <t>https://github.com/expertiza/expertiza/pull/1106</t>
  </si>
  <si>
    <t>https://github.com/expertiza/expertiza/pull/1094</t>
  </si>
  <si>
    <t>https://github.com/expertiza/expertiza/pull/1118</t>
  </si>
  <si>
    <t>E17A1</t>
  </si>
  <si>
    <t>https://github.com/expertiza/expertiza/pull/1114</t>
  </si>
  <si>
    <t>[TDD] Let experts as well as students do reviews</t>
  </si>
  <si>
    <t>https://github.com/expertiza/expertiza/pull/1105</t>
  </si>
  <si>
    <t>E17A2</t>
  </si>
  <si>
    <t>https://github.com/expertiza/expertiza/pull/1101</t>
  </si>
  <si>
    <t>[TDD] Lightweight badging system based on Credly</t>
  </si>
  <si>
    <t>https://github.com/expertiza/expertiza/pull/1095</t>
  </si>
  <si>
    <t>https://github.com/expertiza/expertiza/pull/1109</t>
  </si>
  <si>
    <t>Upgrade review input UI and sanitize text input</t>
  </si>
  <si>
    <t>E17A4</t>
  </si>
  <si>
    <t>https://github.com/expertiza/expertiza/pull/1127</t>
  </si>
  <si>
    <t>[TDD] Allow calibration to be part of an assignment</t>
  </si>
  <si>
    <t>Allow calibration to be part of an assignment</t>
  </si>
  <si>
    <t>https://github.com/expertiza/expertiza/pull/1112</t>
  </si>
  <si>
    <t>Allow users to create an account and submit work to an assignment" (e.g., for conference reviewing)"</t>
  </si>
  <si>
    <t>E17A6</t>
  </si>
  <si>
    <t>https://github.com/expertiza/expertiza/pull/1108</t>
  </si>
  <si>
    <t>[TDD] Fix account creation over web to work reasonably</t>
  </si>
  <si>
    <t>https://github.com/expertiza/expertiza/pull/1104</t>
  </si>
  <si>
    <t>Fix account creation over web to work reasonably</t>
  </si>
  <si>
    <t>https://github.com/expertiza/expertiza/pull/1132</t>
  </si>
  <si>
    <t>https://github.com/expertiza/expertiza/pull/1122</t>
  </si>
  <si>
    <t>Use a profiler to identify the problems / pages that take some time to load &amp; fix them</t>
  </si>
  <si>
    <t>https://github.com/expertiza/expertiza/pull/1117</t>
  </si>
  <si>
    <t>Lazy loading (infinite scroll) for assignments, courses, questionnaires, and user lists with Jscroll</t>
  </si>
  <si>
    <t>E17AA</t>
  </si>
  <si>
    <t>https://github.com/expertiza/expertiza/pull/1128</t>
  </si>
  <si>
    <t>Nominations for badges</t>
  </si>
  <si>
    <t>Notes</t>
  </si>
  <si>
    <t>Tentative?</t>
  </si>
  <si>
    <t>Redo, OSS</t>
  </si>
  <si>
    <t>T</t>
  </si>
  <si>
    <t>Redo if not merged (will be merged if it is verified to work)</t>
  </si>
  <si>
    <t>Needs work, but we may do the work this summer.</t>
  </si>
  <si>
    <t>Y (Zhewei plans to merge)</t>
  </si>
  <si>
    <t>Will be merged, but project was not completed, so there is still functionality to add.</t>
  </si>
  <si>
    <t>(plan to partially merge)</t>
  </si>
  <si>
    <t>Merge, but the user interface will have to be improved.</t>
  </si>
  <si>
    <t>Maybe we can put this code into a state where it can be merged; not clear it would help to give student projects a 4th shot at it.</t>
  </si>
  <si>
    <t>Redo, final project, but low priority</t>
  </si>
  <si>
    <t>Redo, final project</t>
  </si>
  <si>
    <t>Zhewei re-implemented</t>
  </si>
  <si>
    <t>Y (Ed plans to merge)</t>
  </si>
  <si>
    <t>Ed will merge</t>
  </si>
  <si>
    <t>Y (Ferry plans to merge)</t>
  </si>
  <si>
    <t>Redone &amp; partially merged</t>
  </si>
  <si>
    <t>But not completely done, so could be partially reused</t>
  </si>
  <si>
    <t>Will need to be refactored though, perhaps next fall.</t>
  </si>
  <si>
    <t>Was done by Xinhao for CSC 630</t>
  </si>
  <si>
    <t>OSS​ ​project​ ​Beige:​ ​UI​ ​features​ ​related​ ​to​ ​revision​ ​time</t>
  </si>
  <si>
    <t>waiting for Zach to tell us whether it should be merged</t>
  </si>
  <si>
    <t>Should be refactored before being merged.</t>
  </si>
  <si>
    <t>Done</t>
  </si>
  <si>
    <t>Y ( Zhewei plans to merge)</t>
  </si>
  <si>
    <t>Refactored by Zhewei</t>
  </si>
  <si>
    <t>Will be worked on by Shoaib this summer.</t>
  </si>
  <si>
    <t>Is this too hard to write?</t>
  </si>
  <si>
    <t>Reconsider functionality</t>
  </si>
  <si>
    <t>Change to, Improve user interface to logs</t>
  </si>
  <si>
    <t>UI for using Simicheck needs a lot of work</t>
  </si>
  <si>
    <t>Do we want to use Credly or Badgr?  Build on E1822 ... but, we have independent-study students to work on, so doubtful if we want to make this an OSS project</t>
  </si>
  <si>
    <t>Redo, probably, final project</t>
  </si>
  <si>
    <t>Ask Shoaib</t>
  </si>
  <si>
    <t>N/A (already redone)</t>
  </si>
  <si>
    <t>Refactor (?) &amp; write tests</t>
  </si>
  <si>
    <t>(Was done later, though not as an OSS project)</t>
  </si>
  <si>
    <t>(Was done later)</t>
  </si>
  <si>
    <t>Redo partially</t>
  </si>
  <si>
    <t>First two already done, not sure about other two</t>
  </si>
  <si>
    <t>Redo, but description might need to be redone ... or we might get to it this summer.</t>
  </si>
  <si>
    <t>Redo partially, final project? (some of this was done by Sarat in Summer 2017)</t>
  </si>
  <si>
    <t>Respecify more appropriate functionality</t>
  </si>
  <si>
    <t>Redo?  We must specify functionality carefully, like acct. creation over web</t>
  </si>
  <si>
    <t>We can use rails5 ActionCable</t>
  </si>
  <si>
    <t>UI needs to be improved</t>
  </si>
  <si>
    <t>Merge with E1705</t>
  </si>
  <si>
    <t>Merge with E1703</t>
  </si>
  <si>
    <t>Zhewei will do this</t>
  </si>
  <si>
    <t>Respecify, Redo, final project</t>
  </si>
  <si>
    <t>`</t>
  </si>
  <si>
    <t>N/A, since this class has changed considerably since then</t>
  </si>
  <si>
    <t>Merged but possibly reverted.  Is this still necessary?</t>
  </si>
  <si>
    <t>Some of this is done, but probably not Edit Questionnaire</t>
  </si>
  <si>
    <t>Redone as E1690 &amp; merged</t>
  </si>
  <si>
    <t>All of these refactoring projects are likely out of date.  Will check Code Climate for new areas of importance.</t>
  </si>
  <si>
    <t>Project description needs to be changed.  See minutes for July 23, 2018.</t>
  </si>
  <si>
    <t>paper</t>
  </si>
  <si>
    <t>level</t>
  </si>
  <si>
    <t>OSS used</t>
  </si>
  <si>
    <t>how to get project?</t>
  </si>
  <si>
    <r>
      <rPr/>
      <t xml:space="preserve">how many </t>
    </r>
    <r>
      <rPr>
        <i/>
      </rPr>
      <t xml:space="preserve">different </t>
    </r>
    <r>
      <rPr/>
      <t>projects per semester?</t>
    </r>
  </si>
  <si>
    <t>Who review project?</t>
  </si>
  <si>
    <t>Will projects get merge, how many %?</t>
  </si>
  <si>
    <t>comments</t>
  </si>
  <si>
    <t>Expertiza</t>
  </si>
  <si>
    <t>core team identify</t>
  </si>
  <si>
    <t>core team</t>
  </si>
  <si>
    <t>yes ~35%</t>
  </si>
  <si>
    <t>ABC</t>
  </si>
  <si>
    <t>sahana</t>
  </si>
  <si>
    <t>student identify</t>
  </si>
  <si>
    <t>sahana core team</t>
  </si>
  <si>
    <t>unknown</t>
  </si>
  <si>
    <t>Same group of people except us use sahana as OSS project in CS education</t>
  </si>
  <si>
    <t>mozilla</t>
  </si>
  <si>
    <t>OpenMRS</t>
  </si>
  <si>
    <t>Moodle</t>
  </si>
  <si>
    <t xml:space="preserve">Sakai </t>
  </si>
  <si>
    <t>Koha</t>
  </si>
  <si>
    <t>ATutor</t>
  </si>
  <si>
    <t>Expertiza mode</t>
  </si>
  <si>
    <t>1 real project (not a toy) --&gt; students can see their work got merged (used in class)</t>
  </si>
  <si>
    <t>2 we (class staff) got control</t>
  </si>
  <si>
    <t>2.1 students can do helpful features for us</t>
  </si>
  <si>
    <t>2.2 we are capable to guide students</t>
  </si>
  <si>
    <t>3 they know this project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</si>
</sst>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yyyy/mm/dd"/>
    <numFmt numFmtId="167" formatCode="yyyy/m/d"/>
  </numFmts>
  <fonts count="128">
    <font>
      <sz val="10.0"/>
      <color rgb="FF000000"/>
      <name val="Arial"/>
    </font>
    <font>
      <sz val="10.0"/>
      <name val="Arial"/>
    </font>
    <font>
      <b/>
      <sz val="10.0"/>
      <name val="Arial"/>
    </font>
    <font>
      <b/>
    </font>
    <font>
      <sz val="10.0"/>
      <color rgb="FF333333"/>
      <name val="Arial"/>
    </font>
    <font>
      <u/>
      <sz val="10.0"/>
      <color rgb="FF986633"/>
      <name val="Arial"/>
    </font>
    <font>
      <u/>
      <sz val="10.0"/>
      <color rgb="FF986633"/>
      <name val="Arial"/>
    </font>
    <font>
      <name val="Arial"/>
    </font>
    <font/>
    <font>
      <sz val="10.0"/>
      <color rgb="FF986633"/>
      <name val="Arial"/>
    </font>
    <font>
      <color rgb="FF333333"/>
      <name val="Arial"/>
    </font>
    <font>
      <u/>
      <sz val="10.0"/>
      <color rgb="FF0000FF"/>
      <name val="Arial"/>
    </font>
    <font>
      <color rgb="FF000000"/>
      <name val="Arial"/>
    </font>
    <font>
      <u/>
      <color rgb="FF0000FF"/>
      <name val="Arial"/>
    </font>
    <font>
      <u/>
      <sz val="10.0"/>
      <color rgb="FF1155CC"/>
      <name val="Arial"/>
    </font>
    <font>
      <u/>
      <sz val="10.0"/>
      <color rgb="FF000000"/>
      <name val="Arial"/>
    </font>
    <font>
      <sz val="9.0"/>
      <color rgb="FF000000"/>
      <name val="Arial"/>
    </font>
    <font>
      <u/>
      <color rgb="FF0000FF"/>
      <name val="Arial"/>
    </font>
    <font>
      <sz val="11.0"/>
      <color rgb="FF333333"/>
      <name val="&quot;Helvetica Neue&quot;"/>
    </font>
    <font>
      <sz val="11.0"/>
      <color rgb="FF000000"/>
      <name val="Calibri"/>
    </font>
    <font>
      <u/>
      <sz val="11.0"/>
      <color rgb="FF000000"/>
      <name val="Calibri"/>
    </font>
    <font>
      <sz val="11.0"/>
      <color rgb="FF000000"/>
      <name val="Arial"/>
    </font>
    <font>
      <u/>
      <color rgb="FF0000FF"/>
    </font>
    <font>
      <u/>
      <color rgb="FF1155CC"/>
    </font>
    <font>
      <u/>
      <color rgb="FF0000FF"/>
    </font>
    <font>
      <b/>
      <name val="Arial"/>
    </font>
    <font>
      <color rgb="FF000000"/>
      <name val="Roboto"/>
    </font>
    <font>
      <u/>
      <color rgb="FF000000"/>
      <name val="Arial"/>
    </font>
    <font>
      <u/>
      <sz val="10.0"/>
      <color rgb="FF000000"/>
      <name val="Arial"/>
    </font>
    <font>
      <u/>
      <sz val="10.0"/>
      <color rgb="FF000000"/>
      <name val="Arial"/>
    </font>
    <font>
      <u/>
      <sz val="10.0"/>
      <color rgb="FF000000"/>
      <name val="Arial"/>
    </font>
    <font>
      <u/>
      <sz val="10.0"/>
      <color rgb="FF000000"/>
      <name val="Arial"/>
    </font>
    <font>
      <sz val="11.0"/>
      <color rgb="FF252525"/>
      <name val="Arial"/>
    </font>
    <font>
      <sz val="10.0"/>
      <color rgb="FF666666"/>
      <name val="Arial"/>
    </font>
    <font>
      <u/>
      <sz val="10.0"/>
      <color rgb="FF666666"/>
      <name val="Arial"/>
    </font>
    <font>
      <u/>
      <sz val="10.0"/>
      <color rgb="FF0000FF"/>
      <name val="Arial"/>
    </font>
    <font>
      <u/>
      <sz val="10.0"/>
      <color rgb="FF000000"/>
      <name val="Arial"/>
    </font>
    <font>
      <u/>
      <sz val="10.0"/>
      <color rgb="FF666666"/>
      <name val="Arial"/>
    </font>
    <font>
      <color rgb="FF000000"/>
      <name val="'Arial'"/>
    </font>
    <font>
      <u/>
      <sz val="10.0"/>
      <color rgb="FF000000"/>
      <name val="Arial"/>
    </font>
    <font>
      <u/>
      <sz val="10.0"/>
      <color rgb="FF1155CC"/>
      <name val="Arial"/>
    </font>
    <font>
      <u/>
      <sz val="10.0"/>
      <color rgb="FF0000FF"/>
      <name val="Arial"/>
    </font>
    <font>
      <u/>
      <color rgb="FF1155CC"/>
      <name val="Arial"/>
    </font>
    <font>
      <u/>
      <color rgb="FF000000"/>
      <name val="Arial"/>
    </font>
    <font>
      <u/>
      <sz val="10.0"/>
      <color rgb="FF333333"/>
      <name val="Arial"/>
    </font>
    <font>
      <u/>
      <sz val="10.0"/>
      <color rgb="FF000000"/>
      <name val="Arial"/>
    </font>
    <font>
      <u/>
      <sz val="10.0"/>
      <color rgb="FF000000"/>
      <name val="Arial"/>
    </font>
    <font>
      <u/>
      <sz val="10.0"/>
      <color rgb="FF0000FF"/>
      <name val="Arial"/>
    </font>
    <font>
      <u/>
      <sz val="10.0"/>
      <color rgb="FF000000"/>
      <name val="Arial"/>
    </font>
    <font>
      <u/>
      <sz val="10.0"/>
      <color rgb="FF1155CC"/>
      <name val="Arial"/>
    </font>
    <font>
      <color rgb="FF666666"/>
      <name val="Arial"/>
    </font>
    <font>
      <u/>
      <sz val="10.0"/>
      <color rgb="FF666666"/>
      <name val="Arial"/>
    </font>
    <font>
      <u/>
      <sz val="10.0"/>
      <color rgb="FF000000"/>
      <name val="Arial"/>
    </font>
    <font>
      <u/>
      <sz val="10.0"/>
      <color rgb="FF000000"/>
      <name val="Arial"/>
    </font>
    <font>
      <u/>
      <sz val="10.0"/>
      <color rgb="FF666666"/>
      <name val="Arial"/>
    </font>
    <font>
      <sz val="10.0"/>
      <color rgb="FF000000"/>
      <name val="'Trebuchet MS'"/>
    </font>
    <font>
      <u/>
      <sz val="10.0"/>
      <color rgb="FF000000"/>
      <name val="'Trebuchet MS'"/>
    </font>
    <font>
      <u/>
      <sz val="10.0"/>
      <color rgb="FF000000"/>
      <name val="Arial"/>
    </font>
    <font>
      <sz val="10.0"/>
      <color rgb="FF999999"/>
      <name val="'Trebuchet MS'"/>
    </font>
    <font>
      <u/>
      <sz val="10.0"/>
      <color rgb="FF999999"/>
      <name val="'Trebuchet MS'"/>
    </font>
    <font>
      <sz val="10.0"/>
      <color rgb="FF999999"/>
      <name val="Arial"/>
    </font>
    <font>
      <color rgb="FF999999"/>
    </font>
    <font>
      <sz val="10.0"/>
      <color rgb="FF666666"/>
      <name val="'Trebuchet MS'"/>
    </font>
    <font>
      <u/>
      <sz val="10.0"/>
      <color rgb="FF666666"/>
      <name val="'Trebuchet MS'"/>
    </font>
    <font>
      <u/>
      <sz val="10.0"/>
      <color rgb="FF000000"/>
      <name val="Arial"/>
    </font>
    <font>
      <color rgb="FF222222"/>
      <name val="Arial"/>
    </font>
    <font>
      <u/>
      <sz val="10.0"/>
      <color rgb="FF666666"/>
      <name val="Arial"/>
    </font>
    <font>
      <u/>
      <sz val="10.0"/>
      <color rgb="FF000000"/>
      <name val="Arial"/>
    </font>
    <font>
      <color rgb="FF666666"/>
    </font>
    <font>
      <u/>
      <color rgb="FF000000"/>
      <name val="Arial"/>
    </font>
    <font>
      <u/>
      <color rgb="FF0000FF"/>
      <name val="Arial"/>
    </font>
    <font>
      <u/>
      <color rgb="FF666666"/>
      <name val="Arial"/>
    </font>
    <font>
      <u/>
      <color rgb="FF000000"/>
      <name val="Arial"/>
    </font>
    <font>
      <u/>
      <color rgb="FF0000FF"/>
      <name val="Arial"/>
    </font>
    <font>
      <u/>
      <color rgb="FF666666"/>
      <name val="Arial"/>
    </font>
    <font>
      <u/>
      <color rgb="FF000000"/>
      <name val="Arial"/>
    </font>
    <font>
      <u/>
      <color rgb="FF000000"/>
      <name val="Arial"/>
    </font>
    <font>
      <sz val="10.0"/>
    </font>
    <font>
      <u/>
      <color rgb="FF000000"/>
      <name val="Arial"/>
    </font>
    <font>
      <u/>
      <color rgb="FF0000FF"/>
      <name val="Arial"/>
    </font>
    <font>
      <u/>
      <color rgb="FF000000"/>
      <name val="Arial"/>
    </font>
    <font>
      <u/>
      <color rgb="FF000000"/>
      <name val="Arial"/>
    </font>
    <font>
      <u/>
      <color rgb="FF000000"/>
      <name val="Arial"/>
    </font>
    <font>
      <u/>
      <color rgb="FF0000FF"/>
      <name val="Arial"/>
    </font>
    <font>
      <u/>
      <color rgb="FF000000"/>
      <name val="Arial"/>
    </font>
    <font>
      <u/>
      <color rgb="FF666666"/>
      <name val="Arial"/>
    </font>
    <font>
      <u/>
      <color rgb="FF0000FF"/>
      <name val="Arial"/>
    </font>
    <font>
      <u/>
      <color rgb="FF0000FF"/>
      <name val="Arial"/>
    </font>
    <font>
      <u/>
      <color rgb="FF000000"/>
      <name val="Arial"/>
    </font>
    <font>
      <u/>
      <color rgb="FF666666"/>
      <name val="Arial"/>
    </font>
    <font>
      <u/>
      <color rgb="FF0000FF"/>
      <name val="Arial"/>
    </font>
    <font>
      <u/>
      <color rgb="FF666666"/>
      <name val="Arial"/>
    </font>
    <font>
      <u/>
      <color rgb="FF0000FF"/>
      <name val="Arial"/>
    </font>
    <font>
      <u/>
      <color rgb="FF0000FF"/>
      <name val="Arial"/>
    </font>
    <font>
      <u/>
      <color rgb="FF666666"/>
      <name val="Arial"/>
    </font>
    <font>
      <u/>
      <color rgb="FF666666"/>
      <name val="Arial"/>
    </font>
    <font>
      <u/>
      <color rgb="FF0000FF"/>
      <name val="Arial"/>
    </font>
    <font>
      <u/>
      <color rgb="FF0000FF"/>
      <name val="Arial"/>
    </font>
    <font>
      <u/>
      <sz val="10.0"/>
      <color rgb="FF000000"/>
      <name val="Arial"/>
    </font>
    <font>
      <b/>
      <i/>
      <sz val="11.0"/>
      <color rgb="FF000000"/>
      <name val="Calibri"/>
    </font>
    <font>
      <i/>
      <u/>
      <sz val="10.0"/>
      <color rgb="FF000000"/>
      <name val="Arial"/>
    </font>
    <font>
      <u/>
      <color rgb="FF0000FF"/>
      <name val="Arial"/>
    </font>
    <font>
      <u/>
      <sz val="10.0"/>
      <color rgb="FF000000"/>
      <name val="Arial"/>
    </font>
    <font>
      <u/>
      <sz val="10.0"/>
      <color rgb="FF000000"/>
      <name val="Arial"/>
    </font>
    <font>
      <sz val="11.0"/>
      <color rgb="FF000000"/>
      <name val="&quot;Helvetica Neue&quot;"/>
    </font>
    <font>
      <u/>
      <sz val="11.0"/>
      <color rgb="FF000000"/>
      <name val="&quot;Helvetica Neue&quot;"/>
    </font>
    <font>
      <u/>
      <color rgb="FF0000FF"/>
      <name val="Arial"/>
    </font>
    <font>
      <u/>
      <sz val="10.0"/>
      <color rgb="FF000000"/>
      <name val="Arial"/>
    </font>
    <font>
      <u/>
      <sz val="10.0"/>
      <color rgb="FF000000"/>
      <name val="Arial"/>
    </font>
    <font>
      <u/>
      <sz val="10.0"/>
      <color rgb="FF000000"/>
      <name val="Arial"/>
    </font>
    <font>
      <u/>
      <sz val="10.0"/>
      <color rgb="FF000000"/>
      <name val="Arial"/>
    </font>
    <font>
      <sz val="11.0"/>
      <color rgb="FF986633"/>
      <name val="&quot;Helvetica Neue&quot;"/>
    </font>
    <font>
      <b/>
      <color rgb="FF000000"/>
    </font>
    <font>
      <b/>
      <sz val="10.0"/>
      <color rgb="FF000000"/>
      <name val="Arial"/>
    </font>
    <font>
      <u/>
      <color rgb="FF1155CC"/>
      <name val="Arial"/>
    </font>
    <font>
      <color rgb="FF000000"/>
    </font>
    <font>
      <u/>
      <color rgb="FF0000FF"/>
    </font>
    <font>
      <u/>
      <color rgb="FF0000FF"/>
    </font>
    <font>
      <u/>
      <color rgb="FF0000FF"/>
    </font>
    <font>
      <u/>
      <color rgb="FF0000FF"/>
    </font>
    <font>
      <u/>
      <color rgb="FF0000FF"/>
    </font>
    <font>
      <u/>
      <color rgb="FF0000FF"/>
    </font>
    <font>
      <u/>
      <color rgb="FF0000FF"/>
    </font>
    <font>
      <u/>
      <color rgb="FF0000FF"/>
    </font>
    <font>
      <u/>
      <color rgb="FF000000"/>
    </font>
    <font>
      <u/>
      <color rgb="FF0000FF"/>
    </font>
    <font>
      <u/>
      <color rgb="FF0000FF"/>
    </font>
    <font>
      <sz val="11.0"/>
      <color rgb="FF000000"/>
      <name val="Inconsolata"/>
    </font>
  </fonts>
  <fills count="30">
    <fill>
      <patternFill patternType="none"/>
    </fill>
    <fill>
      <patternFill patternType="lightGray"/>
    </fill>
    <fill>
      <patternFill patternType="solid">
        <fgColor rgb="FFCFE2F3"/>
        <bgColor rgb="FFCFE2F3"/>
      </patternFill>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00FFFF"/>
        <bgColor rgb="FF00FFFF"/>
      </patternFill>
    </fill>
    <fill>
      <patternFill patternType="solid">
        <fgColor rgb="FFD9D9D9"/>
        <bgColor rgb="FFD9D9D9"/>
      </patternFill>
    </fill>
    <fill>
      <patternFill patternType="solid">
        <fgColor rgb="FFA4C2F4"/>
        <bgColor rgb="FFA4C2F4"/>
      </patternFill>
    </fill>
    <fill>
      <patternFill patternType="solid">
        <fgColor rgb="FFC9DAF8"/>
        <bgColor rgb="FFC9DAF8"/>
      </patternFill>
    </fill>
    <fill>
      <patternFill patternType="solid">
        <fgColor rgb="FFF4CCCC"/>
        <bgColor rgb="FFF4CCCC"/>
      </patternFill>
    </fill>
    <fill>
      <patternFill patternType="solid">
        <fgColor rgb="FFFFFF00"/>
        <bgColor rgb="FFFFFF00"/>
      </patternFill>
    </fill>
    <fill>
      <patternFill patternType="solid">
        <fgColor rgb="FFF9F9F9"/>
        <bgColor rgb="FFF9F9F9"/>
      </patternFill>
    </fill>
    <fill>
      <patternFill patternType="solid">
        <fgColor rgb="FFFCE5CD"/>
        <bgColor rgb="FFFCE5CD"/>
      </patternFill>
    </fill>
    <fill>
      <patternFill patternType="solid">
        <fgColor rgb="FF9FC5E8"/>
        <bgColor rgb="FF9FC5E8"/>
      </patternFill>
    </fill>
    <fill>
      <patternFill patternType="solid">
        <fgColor rgb="FFD9D2E9"/>
        <bgColor rgb="FFD9D2E9"/>
      </patternFill>
    </fill>
    <fill>
      <patternFill patternType="solid">
        <fgColor rgb="FFF9CB9C"/>
        <bgColor rgb="FFF9CB9C"/>
      </patternFill>
    </fill>
    <fill>
      <patternFill patternType="solid">
        <fgColor rgb="FFB7B7B7"/>
        <bgColor rgb="FFB7B7B7"/>
      </patternFill>
    </fill>
    <fill>
      <patternFill patternType="solid">
        <fgColor rgb="FFEFEFEF"/>
        <bgColor rgb="FFEFEFEF"/>
      </patternFill>
    </fill>
    <fill>
      <patternFill patternType="solid">
        <fgColor rgb="FFD5A6BD"/>
        <bgColor rgb="FFD5A6BD"/>
      </patternFill>
    </fill>
    <fill>
      <patternFill patternType="solid">
        <fgColor rgb="FFE6B8AF"/>
        <bgColor rgb="FFE6B8AF"/>
      </patternFill>
    </fill>
    <fill>
      <patternFill patternType="solid">
        <fgColor rgb="FFD0E0E3"/>
        <bgColor rgb="FFD0E0E3"/>
      </patternFill>
    </fill>
    <fill>
      <patternFill patternType="solid">
        <fgColor rgb="FFD9EAD3"/>
        <bgColor rgb="FFD9EAD3"/>
      </patternFill>
    </fill>
    <fill>
      <patternFill patternType="solid">
        <fgColor rgb="FFEA9999"/>
        <bgColor rgb="FFEA9999"/>
      </patternFill>
    </fill>
    <fill>
      <patternFill patternType="solid">
        <fgColor rgb="FFB4A7D6"/>
        <bgColor rgb="FFB4A7D6"/>
      </patternFill>
    </fill>
    <fill>
      <patternFill patternType="solid">
        <fgColor rgb="FF93C47D"/>
        <bgColor rgb="FF93C47D"/>
      </patternFill>
    </fill>
    <fill>
      <patternFill patternType="solid">
        <fgColor rgb="FFF6B26B"/>
        <bgColor rgb="FFF6B26B"/>
      </patternFill>
    </fill>
    <fill>
      <patternFill patternType="solid">
        <fgColor rgb="FFFF0000"/>
        <bgColor rgb="FFFF0000"/>
      </patternFill>
    </fill>
  </fills>
  <borders count="4">
    <border/>
    <border>
      <left style="thin">
        <color rgb="FFCCCCCC"/>
      </left>
      <right style="thin">
        <color rgb="FFCCCCCC"/>
      </right>
      <top style="thin">
        <color rgb="FFCCCCCC"/>
      </top>
      <bottom style="thin">
        <color rgb="FFCCCCCC"/>
      </bottom>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3" numFmtId="0" xfId="0" applyFont="1"/>
    <xf borderId="0" fillId="2" fontId="1" numFmtId="0" xfId="0" applyAlignment="1" applyFill="1" applyFont="1">
      <alignment readingOrder="0" vertical="top"/>
    </xf>
    <xf borderId="0" fillId="2" fontId="4" numFmtId="0" xfId="0" applyAlignment="1" applyFont="1">
      <alignment readingOrder="0" vertical="top"/>
    </xf>
    <xf borderId="0" fillId="0" fontId="5" numFmtId="0" xfId="0" applyAlignment="1" applyFont="1">
      <alignment readingOrder="0" vertical="top"/>
    </xf>
    <xf borderId="0" fillId="0" fontId="6" numFmtId="0" xfId="0" applyAlignment="1" applyFont="1">
      <alignment readingOrder="0" shrinkToFit="0" vertical="top" wrapText="1"/>
    </xf>
    <xf borderId="0" fillId="0" fontId="1" numFmtId="0" xfId="0" applyAlignment="1" applyFont="1">
      <alignment readingOrder="0" vertical="top"/>
    </xf>
    <xf borderId="0" fillId="0" fontId="1" numFmtId="0" xfId="0" applyAlignment="1" applyFont="1">
      <alignment readingOrder="0" shrinkToFit="0" vertical="bottom" wrapText="1"/>
    </xf>
    <xf borderId="0" fillId="0" fontId="7" numFmtId="0" xfId="0" applyAlignment="1" applyFont="1">
      <alignment horizontal="right" shrinkToFit="0" vertical="bottom" wrapText="1"/>
    </xf>
    <xf borderId="0" fillId="0" fontId="8" numFmtId="0" xfId="0" applyAlignment="1" applyFont="1">
      <alignment readingOrder="0"/>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49" xfId="0" applyAlignment="1" applyFont="1" applyNumberFormat="1">
      <alignment horizontal="right" vertical="bottom"/>
    </xf>
    <xf borderId="0" fillId="3" fontId="4" numFmtId="0" xfId="0" applyAlignment="1" applyFill="1" applyFont="1">
      <alignment readingOrder="0" vertical="top"/>
    </xf>
    <xf borderId="0" fillId="3" fontId="0" numFmtId="0" xfId="0" applyAlignment="1" applyFont="1">
      <alignment readingOrder="0" vertical="top"/>
    </xf>
    <xf borderId="0" fillId="3" fontId="9" numFmtId="0" xfId="0" applyAlignment="1" applyFont="1">
      <alignment readingOrder="0" shrinkToFit="0" vertical="top" wrapText="1"/>
    </xf>
    <xf borderId="0" fillId="3" fontId="1" numFmtId="0" xfId="0" applyAlignment="1" applyFont="1">
      <alignment readingOrder="0" vertical="top"/>
    </xf>
    <xf borderId="0" fillId="3" fontId="1" numFmtId="0" xfId="0" applyAlignment="1" applyFont="1">
      <alignment readingOrder="0" shrinkToFit="0" vertical="bottom" wrapText="1"/>
    </xf>
    <xf borderId="0" fillId="3" fontId="1" numFmtId="0" xfId="0" applyAlignment="1" applyFont="1">
      <alignment readingOrder="0" vertical="bottom"/>
    </xf>
    <xf borderId="0" fillId="3" fontId="7" numFmtId="0" xfId="0" applyAlignment="1" applyFont="1">
      <alignment readingOrder="0" shrinkToFit="0" vertical="bottom" wrapText="1"/>
    </xf>
    <xf borderId="0" fillId="3" fontId="8" numFmtId="0" xfId="0" applyAlignment="1" applyFont="1">
      <alignment readingOrder="0"/>
    </xf>
    <xf borderId="0" fillId="3" fontId="7" numFmtId="0" xfId="0" applyAlignment="1" applyFont="1">
      <alignment shrinkToFit="0" vertical="bottom" wrapText="1"/>
    </xf>
    <xf borderId="0" fillId="3" fontId="8" numFmtId="0" xfId="0" applyFont="1"/>
    <xf borderId="0" fillId="3" fontId="7" numFmtId="0" xfId="0" applyAlignment="1" applyFont="1">
      <alignment shrinkToFit="0" vertical="bottom" wrapText="1"/>
    </xf>
    <xf borderId="0" fillId="0" fontId="7" numFmtId="0" xfId="0" applyAlignment="1" applyFont="1">
      <alignment readingOrder="0" shrinkToFit="0" vertical="bottom" wrapText="1"/>
    </xf>
    <xf borderId="0" fillId="2" fontId="10" numFmtId="0" xfId="0" applyAlignment="1" applyFont="1">
      <alignment horizontal="left" readingOrder="0" vertical="top"/>
    </xf>
    <xf borderId="0" fillId="4" fontId="1" numFmtId="0" xfId="0" applyAlignment="1" applyFill="1" applyFont="1">
      <alignment readingOrder="0" vertical="top"/>
    </xf>
    <xf borderId="0" fillId="4" fontId="4" numFmtId="0" xfId="0" applyAlignment="1" applyFont="1">
      <alignment readingOrder="0" vertical="top"/>
    </xf>
    <xf borderId="0" fillId="0" fontId="11" numFmtId="0" xfId="0" applyAlignment="1" applyFont="1">
      <alignment readingOrder="0" vertical="top"/>
    </xf>
    <xf borderId="0" fillId="0" fontId="9" numFmtId="0" xfId="0" applyAlignment="1" applyFont="1">
      <alignment readingOrder="0" vertical="top"/>
    </xf>
    <xf borderId="0" fillId="0" fontId="7" numFmtId="0" xfId="0" applyAlignment="1" applyFont="1">
      <alignment shrinkToFit="0" vertical="bottom" wrapText="1"/>
    </xf>
    <xf borderId="0" fillId="0" fontId="7" numFmtId="0" xfId="0" applyAlignment="1" applyFont="1">
      <alignment horizontal="right" shrinkToFit="0" vertical="bottom" wrapText="1"/>
    </xf>
    <xf borderId="0" fillId="0" fontId="7" numFmtId="49" xfId="0" applyAlignment="1" applyFont="1" applyNumberFormat="1">
      <alignment shrinkToFit="0" vertical="bottom" wrapText="1"/>
    </xf>
    <xf borderId="0" fillId="5" fontId="12" numFmtId="0" xfId="0" applyAlignment="1" applyFill="1" applyFont="1">
      <alignment shrinkToFit="0" vertical="bottom" wrapText="1"/>
    </xf>
    <xf borderId="0" fillId="0" fontId="7" numFmtId="0" xfId="0" applyAlignment="1" applyFont="1">
      <alignment readingOrder="0" vertical="bottom"/>
    </xf>
    <xf borderId="0" fillId="5" fontId="12" numFmtId="0" xfId="0" applyAlignment="1" applyFont="1">
      <alignment vertical="bottom"/>
    </xf>
    <xf borderId="0" fillId="0" fontId="7" numFmtId="49" xfId="0" applyAlignment="1" applyFont="1" applyNumberFormat="1">
      <alignment readingOrder="0" shrinkToFit="0" vertical="bottom" wrapText="1"/>
    </xf>
    <xf borderId="0" fillId="6" fontId="7" numFmtId="0" xfId="0" applyAlignment="1" applyFill="1" applyFont="1">
      <alignment vertical="top"/>
    </xf>
    <xf borderId="0" fillId="6" fontId="7" numFmtId="0" xfId="0" applyAlignment="1" applyFont="1">
      <alignment readingOrder="0" vertical="bottom"/>
    </xf>
    <xf borderId="0" fillId="6" fontId="7" numFmtId="0" xfId="0" applyAlignment="1" applyFont="1">
      <alignment shrinkToFit="0" vertical="bottom" wrapText="1"/>
    </xf>
    <xf borderId="0" fillId="0" fontId="12" numFmtId="0" xfId="0" applyAlignment="1" applyFont="1">
      <alignment vertical="bottom"/>
    </xf>
    <xf borderId="0" fillId="0" fontId="13" numFmtId="0" xfId="0" applyAlignment="1" applyFont="1">
      <alignment readingOrder="0" shrinkToFit="0" vertical="bottom" wrapText="1"/>
    </xf>
    <xf borderId="0" fillId="0" fontId="7" numFmtId="0" xfId="0" applyAlignment="1" applyFont="1">
      <alignment readingOrder="0" vertical="bottom"/>
    </xf>
    <xf borderId="0" fillId="6" fontId="7" numFmtId="0" xfId="0" applyAlignment="1" applyFont="1">
      <alignment vertical="bottom"/>
    </xf>
    <xf borderId="0" fillId="0" fontId="7" numFmtId="0" xfId="0" applyAlignment="1" applyFont="1">
      <alignment vertical="bottom"/>
    </xf>
    <xf borderId="0" fillId="0" fontId="0" numFmtId="0" xfId="0" applyAlignment="1" applyFont="1">
      <alignment shrinkToFit="0" vertical="bottom" wrapText="1"/>
    </xf>
    <xf borderId="0" fillId="0" fontId="14" numFmtId="0" xfId="0" applyAlignment="1" applyFont="1">
      <alignment readingOrder="0" shrinkToFit="0" vertical="bottom" wrapText="1"/>
    </xf>
    <xf borderId="0" fillId="0" fontId="7" numFmtId="0" xfId="0" applyAlignment="1" applyFont="1">
      <alignment horizontal="right" shrinkToFit="0" vertical="bottom" wrapText="1"/>
    </xf>
    <xf borderId="0" fillId="0" fontId="15" numFmtId="0" xfId="0" applyAlignment="1" applyFont="1">
      <alignment readingOrder="0" shrinkToFit="0" vertical="bottom" wrapText="1"/>
    </xf>
    <xf borderId="0" fillId="0" fontId="16" numFmtId="0" xfId="0" applyAlignment="1" applyFont="1">
      <alignment shrinkToFit="0" vertical="bottom" wrapText="1"/>
    </xf>
    <xf borderId="0" fillId="0" fontId="1" numFmtId="0" xfId="0" applyAlignment="1" applyFont="1">
      <alignment shrinkToFit="0" vertical="bottom" wrapText="1"/>
    </xf>
    <xf borderId="0" fillId="7" fontId="7" numFmtId="0" xfId="0" applyAlignment="1" applyFill="1" applyFont="1">
      <alignment vertical="top"/>
    </xf>
    <xf borderId="0" fillId="7" fontId="7" numFmtId="0" xfId="0" applyAlignment="1" applyFont="1">
      <alignment vertical="bottom"/>
    </xf>
    <xf borderId="0" fillId="7" fontId="7" numFmtId="0" xfId="0" applyAlignment="1" applyFont="1">
      <alignment shrinkToFit="0" vertical="bottom" wrapText="1"/>
    </xf>
    <xf borderId="0" fillId="0" fontId="8" numFmtId="0" xfId="0" applyAlignment="1" applyFont="1">
      <alignment horizontal="left" readingOrder="0" shrinkToFit="0" wrapText="1"/>
    </xf>
    <xf borderId="0" fillId="0" fontId="12" numFmtId="0" xfId="0" applyAlignment="1" applyFont="1">
      <alignment readingOrder="0" vertical="bottom"/>
    </xf>
    <xf borderId="0" fillId="0" fontId="12" numFmtId="0" xfId="0" applyAlignment="1" applyFont="1">
      <alignment horizontal="right" readingOrder="0" vertical="bottom"/>
    </xf>
    <xf borderId="0" fillId="8" fontId="8" numFmtId="0" xfId="0" applyFill="1" applyFont="1"/>
    <xf borderId="0" fillId="3" fontId="7" numFmtId="0" xfId="0" applyAlignment="1" applyFont="1">
      <alignment readingOrder="0" vertical="bottom"/>
    </xf>
    <xf borderId="0" fillId="3" fontId="7" numFmtId="0" xfId="0" applyAlignment="1" applyFont="1">
      <alignment readingOrder="0" shrinkToFit="0" vertical="bottom" wrapText="1"/>
    </xf>
    <xf borderId="0" fillId="3" fontId="8" numFmtId="0" xfId="0" applyAlignment="1" applyFont="1">
      <alignment horizontal="left" readingOrder="0" shrinkToFit="0" wrapText="1"/>
    </xf>
    <xf borderId="0" fillId="3" fontId="12" numFmtId="0" xfId="0" applyAlignment="1" applyFont="1">
      <alignment readingOrder="0" vertical="bottom"/>
    </xf>
    <xf borderId="0" fillId="3" fontId="12" numFmtId="0" xfId="0" applyAlignment="1" applyFont="1">
      <alignment horizontal="right" readingOrder="0" vertical="bottom"/>
    </xf>
    <xf borderId="0" fillId="3" fontId="7" numFmtId="49" xfId="0" applyAlignment="1" applyFont="1" applyNumberFormat="1">
      <alignment shrinkToFit="0" vertical="bottom" wrapText="1"/>
    </xf>
    <xf borderId="0" fillId="3" fontId="7" numFmtId="0" xfId="0" applyAlignment="1" applyFont="1">
      <alignment shrinkToFit="0" vertical="bottom" wrapText="1"/>
    </xf>
    <xf borderId="0" fillId="7" fontId="7" numFmtId="0" xfId="0" applyAlignment="1" applyFont="1">
      <alignment readingOrder="0" shrinkToFit="0" vertical="bottom" wrapText="1"/>
    </xf>
    <xf borderId="0" fillId="8" fontId="8" numFmtId="0" xfId="0" applyAlignment="1" applyFont="1">
      <alignment readingOrder="0"/>
    </xf>
    <xf borderId="0" fillId="0" fontId="17" numFmtId="49" xfId="0" applyAlignment="1" applyFont="1" applyNumberFormat="1">
      <alignment shrinkToFit="0" vertical="bottom" wrapText="1"/>
    </xf>
    <xf borderId="0" fillId="9" fontId="7" numFmtId="0" xfId="0" applyAlignment="1" applyFill="1" applyFont="1">
      <alignment readingOrder="0" vertical="bottom"/>
    </xf>
    <xf borderId="0" fillId="9" fontId="7" numFmtId="0" xfId="0" applyAlignment="1" applyFont="1">
      <alignment shrinkToFit="0" vertical="bottom" wrapText="1"/>
    </xf>
    <xf borderId="0" fillId="9" fontId="7" numFmtId="0" xfId="0" applyAlignment="1" applyFont="1">
      <alignment readingOrder="0" shrinkToFit="0" vertical="bottom" wrapText="1"/>
    </xf>
    <xf borderId="0" fillId="9" fontId="8" numFmtId="0" xfId="0" applyAlignment="1" applyFont="1">
      <alignment readingOrder="0"/>
    </xf>
    <xf borderId="0" fillId="9" fontId="8" numFmtId="0" xfId="0" applyAlignment="1" applyFont="1">
      <alignment horizontal="left" readingOrder="0" shrinkToFit="0" wrapText="1"/>
    </xf>
    <xf borderId="0" fillId="9" fontId="12" numFmtId="0" xfId="0" applyAlignment="1" applyFont="1">
      <alignment readingOrder="0" vertical="bottom"/>
    </xf>
    <xf borderId="0" fillId="9" fontId="12" numFmtId="0" xfId="0" applyAlignment="1" applyFont="1">
      <alignment horizontal="right" readingOrder="0" vertical="bottom"/>
    </xf>
    <xf borderId="0" fillId="9" fontId="7" numFmtId="49" xfId="0" applyAlignment="1" applyFont="1" applyNumberFormat="1">
      <alignment shrinkToFit="0" vertical="bottom" wrapText="1"/>
    </xf>
    <xf borderId="0" fillId="9" fontId="8" numFmtId="0" xfId="0" applyFont="1"/>
    <xf borderId="0" fillId="9" fontId="7" numFmtId="0" xfId="0" applyAlignment="1" applyFont="1">
      <alignment shrinkToFit="0" vertical="bottom" wrapText="1"/>
    </xf>
    <xf borderId="0" fillId="7" fontId="8" numFmtId="0" xfId="0" applyAlignment="1" applyFont="1">
      <alignment readingOrder="0"/>
    </xf>
    <xf borderId="0" fillId="7" fontId="18" numFmtId="0" xfId="0" applyAlignment="1" applyFont="1">
      <alignment readingOrder="0" shrinkToFit="0" wrapText="1"/>
    </xf>
    <xf borderId="0" fillId="0" fontId="8" numFmtId="0" xfId="0" applyAlignment="1" applyFont="1">
      <alignment readingOrder="0" shrinkToFit="0" wrapText="1"/>
    </xf>
    <xf borderId="0" fillId="0" fontId="19" numFmtId="0" xfId="0" applyAlignment="1" applyFont="1">
      <alignment readingOrder="0" shrinkToFit="0" vertical="bottom" wrapText="1"/>
    </xf>
    <xf borderId="0" fillId="0" fontId="8" numFmtId="0" xfId="0" applyAlignment="1" applyFont="1">
      <alignment readingOrder="0" shrinkToFit="0" wrapText="1"/>
    </xf>
    <xf borderId="0" fillId="0" fontId="8" numFmtId="0" xfId="0" applyAlignment="1" applyFont="1">
      <alignment shrinkToFit="0" wrapText="1"/>
    </xf>
    <xf borderId="0" fillId="10" fontId="7" numFmtId="0" xfId="0" applyAlignment="1" applyFill="1" applyFont="1">
      <alignment vertical="top"/>
    </xf>
    <xf borderId="0" fillId="10" fontId="8" numFmtId="0" xfId="0" applyAlignment="1" applyFont="1">
      <alignment readingOrder="0"/>
    </xf>
    <xf borderId="0" fillId="10" fontId="18" numFmtId="0" xfId="0" applyAlignment="1" applyFont="1">
      <alignment readingOrder="0" shrinkToFit="0" wrapText="1"/>
    </xf>
    <xf borderId="0" fillId="11" fontId="8" numFmtId="0" xfId="0" applyAlignment="1" applyFill="1" applyFont="1">
      <alignment horizontal="left" readingOrder="0" shrinkToFit="0" wrapText="1"/>
    </xf>
    <xf borderId="0" fillId="0" fontId="20" numFmtId="0" xfId="0" applyAlignment="1" applyFont="1">
      <alignment readingOrder="0" shrinkToFit="0" vertical="bottom" wrapText="1"/>
    </xf>
    <xf borderId="0" fillId="3" fontId="18" numFmtId="0" xfId="0" applyAlignment="1" applyFont="1">
      <alignment readingOrder="0" shrinkToFit="0" wrapText="1"/>
    </xf>
    <xf borderId="0" fillId="3" fontId="19" numFmtId="0" xfId="0" applyAlignment="1" applyFont="1">
      <alignment readingOrder="0" shrinkToFit="0" vertical="bottom" wrapText="1"/>
    </xf>
    <xf borderId="0" fillId="3" fontId="8" numFmtId="0" xfId="0" applyAlignment="1" applyFont="1">
      <alignment readingOrder="0" shrinkToFit="0" wrapText="1"/>
    </xf>
    <xf borderId="0" fillId="3" fontId="8" numFmtId="0" xfId="0" applyAlignment="1" applyFont="1">
      <alignment shrinkToFit="0" wrapText="1"/>
    </xf>
    <xf borderId="0" fillId="12" fontId="7" numFmtId="0" xfId="0" applyAlignment="1" applyFill="1" applyFont="1">
      <alignment vertical="top"/>
    </xf>
    <xf borderId="0" fillId="0" fontId="7" numFmtId="0" xfId="0" applyAlignment="1" applyFont="1">
      <alignment vertical="bottom"/>
    </xf>
    <xf borderId="0" fillId="0" fontId="7" numFmtId="0" xfId="0" applyAlignment="1" applyFont="1">
      <alignment readingOrder="0" shrinkToFit="0" vertical="bottom" wrapText="1"/>
    </xf>
    <xf borderId="0" fillId="0" fontId="8" numFmtId="0" xfId="0" applyAlignment="1" applyFont="1">
      <alignment horizontal="left" shrinkToFit="0" wrapText="1"/>
    </xf>
    <xf borderId="0" fillId="0" fontId="7" numFmtId="49" xfId="0" applyAlignment="1" applyFont="1" applyNumberFormat="1">
      <alignment shrinkToFit="0" vertical="bottom" wrapText="1"/>
    </xf>
    <xf borderId="0" fillId="5" fontId="12" numFmtId="0" xfId="0" applyAlignment="1" applyFont="1">
      <alignment horizontal="left" readingOrder="0" shrinkToFit="0" wrapText="1"/>
    </xf>
    <xf borderId="0" fillId="11" fontId="7" numFmtId="0" xfId="0" applyAlignment="1" applyFont="1">
      <alignment shrinkToFit="0" vertical="bottom" wrapText="1"/>
    </xf>
    <xf borderId="0" fillId="0" fontId="21" numFmtId="0" xfId="0" applyAlignment="1" applyFont="1">
      <alignment horizontal="right" vertical="bottom"/>
    </xf>
    <xf borderId="0" fillId="11" fontId="12" numFmtId="0" xfId="0" applyAlignment="1" applyFont="1">
      <alignment shrinkToFit="0" vertical="bottom" wrapText="1"/>
    </xf>
    <xf borderId="0" fillId="0" fontId="22" numFmtId="0" xfId="0" applyAlignment="1" applyFont="1">
      <alignment readingOrder="0" shrinkToFit="0" wrapText="1"/>
    </xf>
    <xf borderId="0" fillId="12" fontId="7" numFmtId="0" xfId="0" applyAlignment="1" applyFont="1">
      <alignment shrinkToFit="0" vertical="bottom" wrapText="1"/>
    </xf>
    <xf borderId="0" fillId="5" fontId="12" numFmtId="49" xfId="0" applyAlignment="1" applyFont="1" applyNumberFormat="1">
      <alignment shrinkToFit="0" vertical="bottom" wrapText="1"/>
    </xf>
    <xf borderId="0" fillId="12" fontId="7" numFmtId="0" xfId="0" applyAlignment="1" applyFont="1">
      <alignment readingOrder="0" shrinkToFit="0" vertical="bottom" wrapText="1"/>
    </xf>
    <xf borderId="0" fillId="6" fontId="12" numFmtId="0" xfId="0" applyAlignment="1" applyFont="1">
      <alignment horizontal="left" readingOrder="0"/>
    </xf>
    <xf borderId="0" fillId="6" fontId="7" numFmtId="0" xfId="0" applyAlignment="1" applyFont="1">
      <alignment readingOrder="0" shrinkToFit="0" vertical="bottom" wrapText="1"/>
    </xf>
    <xf borderId="0" fillId="0" fontId="8" numFmtId="0" xfId="0" applyAlignment="1" applyFont="1">
      <alignment horizontal="right" readingOrder="0" shrinkToFit="0" wrapText="1"/>
    </xf>
    <xf borderId="0" fillId="0" fontId="7" numFmtId="0" xfId="0" applyAlignment="1" applyFont="1">
      <alignment shrinkToFit="0" vertical="bottom" wrapText="1"/>
    </xf>
    <xf borderId="0" fillId="0" fontId="12" numFmtId="0" xfId="0" applyAlignment="1" applyFont="1">
      <alignment shrinkToFit="0" vertical="bottom" wrapText="1"/>
    </xf>
    <xf borderId="0" fillId="0" fontId="8" numFmtId="0" xfId="0" applyAlignment="1" applyFont="1">
      <alignment horizontal="right" readingOrder="0"/>
    </xf>
    <xf borderId="0" fillId="6" fontId="8" numFmtId="0" xfId="0" applyAlignment="1" applyFont="1">
      <alignment readingOrder="0"/>
    </xf>
    <xf borderId="0" fillId="11" fontId="8" numFmtId="0" xfId="0" applyAlignment="1" applyFont="1">
      <alignment readingOrder="0" shrinkToFit="0" wrapText="1"/>
    </xf>
    <xf borderId="0" fillId="0" fontId="19" numFmtId="0" xfId="0" applyAlignment="1" applyFont="1">
      <alignment readingOrder="0" shrinkToFit="0" vertical="bottom" wrapText="1"/>
    </xf>
    <xf borderId="0" fillId="0" fontId="23" numFmtId="0" xfId="0" applyAlignment="1" applyFont="1">
      <alignment readingOrder="0" shrinkToFit="0" wrapText="1"/>
    </xf>
    <xf borderId="0" fillId="3" fontId="12" numFmtId="0" xfId="0" applyAlignment="1" applyFont="1">
      <alignment horizontal="left" readingOrder="0"/>
    </xf>
    <xf borderId="0" fillId="3" fontId="7" numFmtId="0" xfId="0" applyAlignment="1" applyFont="1">
      <alignment readingOrder="0" shrinkToFit="0" vertical="bottom" wrapText="1"/>
    </xf>
    <xf borderId="0" fillId="3" fontId="7" numFmtId="0" xfId="0" applyAlignment="1" applyFont="1">
      <alignment readingOrder="0" vertical="bottom"/>
    </xf>
    <xf borderId="0" fillId="3" fontId="8" numFmtId="0" xfId="0" applyAlignment="1" applyFont="1">
      <alignment readingOrder="0" shrinkToFit="0" wrapText="1"/>
    </xf>
    <xf borderId="0" fillId="3" fontId="12" numFmtId="0" xfId="0" applyAlignment="1" applyFont="1">
      <alignment horizontal="left" readingOrder="0" shrinkToFit="0" wrapText="1"/>
    </xf>
    <xf borderId="0" fillId="3" fontId="21" numFmtId="0" xfId="0" applyAlignment="1" applyFont="1">
      <alignment shrinkToFit="0" vertical="bottom" wrapText="1"/>
    </xf>
    <xf borderId="0" fillId="11" fontId="12" numFmtId="0" xfId="0" applyAlignment="1" applyFont="1">
      <alignment horizontal="left" readingOrder="0" shrinkToFit="0" wrapText="1"/>
    </xf>
    <xf borderId="0" fillId="0" fontId="21" numFmtId="0" xfId="0" applyAlignment="1" applyFont="1">
      <alignment shrinkToFit="0" vertical="bottom" wrapText="1"/>
    </xf>
    <xf borderId="0" fillId="5" fontId="12" numFmtId="0" xfId="0" applyAlignment="1" applyFont="1">
      <alignment horizontal="left" readingOrder="0"/>
    </xf>
    <xf borderId="0" fillId="0" fontId="24" numFmtId="0" xfId="0" applyAlignment="1" applyFont="1">
      <alignment readingOrder="0" shrinkToFit="0" wrapText="1"/>
    </xf>
    <xf borderId="0" fillId="10" fontId="7" numFmtId="0" xfId="0" applyAlignment="1" applyFont="1">
      <alignment readingOrder="0" vertical="top"/>
    </xf>
    <xf borderId="0" fillId="10" fontId="7" numFmtId="0" xfId="0" applyAlignment="1" applyFont="1">
      <alignment shrinkToFit="0" vertical="bottom" wrapText="1"/>
    </xf>
    <xf borderId="0" fillId="0" fontId="19" numFmtId="0" xfId="0" applyAlignment="1" applyFont="1">
      <alignment readingOrder="0" shrinkToFit="0" vertical="bottom" wrapText="0"/>
    </xf>
    <xf borderId="0" fillId="0" fontId="7" numFmtId="0" xfId="0" applyAlignment="1" applyFont="1">
      <alignment readingOrder="0" vertical="bottom"/>
    </xf>
    <xf borderId="0" fillId="13" fontId="7" numFmtId="0" xfId="0" applyAlignment="1" applyFill="1" applyFont="1">
      <alignment shrinkToFit="0" vertical="bottom" wrapText="1"/>
    </xf>
    <xf borderId="0" fillId="0" fontId="7" numFmtId="0" xfId="0" applyAlignment="1" applyFont="1">
      <alignment horizontal="right" shrinkToFit="0" vertical="bottom" wrapText="1"/>
    </xf>
    <xf borderId="0" fillId="0" fontId="7" numFmtId="49" xfId="0" applyAlignment="1" applyFont="1" applyNumberFormat="1">
      <alignment shrinkToFit="0" vertical="bottom" wrapText="1"/>
    </xf>
    <xf borderId="0" fillId="0" fontId="19" numFmtId="0" xfId="0" applyAlignment="1" applyFont="1">
      <alignment readingOrder="0" vertical="bottom"/>
    </xf>
    <xf borderId="0" fillId="10" fontId="12" numFmtId="0" xfId="0" applyAlignment="1" applyFont="1">
      <alignment shrinkToFit="0" vertical="bottom" wrapText="1"/>
    </xf>
    <xf borderId="0" fillId="8" fontId="7"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shrinkToFit="0" vertical="top" wrapText="1"/>
    </xf>
    <xf borderId="0" fillId="13" fontId="7" numFmtId="0" xfId="0" applyAlignment="1" applyFont="1">
      <alignment shrinkToFit="0" vertical="top" wrapText="1"/>
    </xf>
    <xf borderId="0" fillId="0" fontId="7" numFmtId="0" xfId="0" applyAlignment="1" applyFont="1">
      <alignment horizontal="right" shrinkToFit="0" vertical="top" wrapText="1"/>
    </xf>
    <xf borderId="0" fillId="0" fontId="8" numFmtId="0" xfId="0" applyAlignment="1" applyFont="1">
      <alignment readingOrder="0" shrinkToFit="0" vertical="top" wrapText="1"/>
    </xf>
    <xf borderId="0" fillId="13" fontId="25" numFmtId="0" xfId="0" applyAlignment="1" applyFont="1">
      <alignment shrinkToFit="0" vertical="top" wrapText="1"/>
    </xf>
    <xf borderId="0" fillId="0" fontId="7" numFmtId="49" xfId="0" applyAlignment="1" applyFont="1" applyNumberFormat="1">
      <alignment readingOrder="0" shrinkToFit="0" vertical="bottom" wrapText="1"/>
    </xf>
    <xf borderId="0" fillId="13" fontId="25" numFmtId="0" xfId="0" applyAlignment="1" applyFont="1">
      <alignment shrinkToFit="0" vertical="bottom" wrapText="1"/>
    </xf>
    <xf borderId="0" fillId="0" fontId="7" numFmtId="49" xfId="0" applyAlignment="1" applyFont="1" applyNumberFormat="1">
      <alignment readingOrder="0" shrinkToFit="0" vertical="bottom" wrapText="1"/>
    </xf>
    <xf borderId="0" fillId="11" fontId="26" numFmtId="0" xfId="0" applyAlignment="1" applyFont="1">
      <alignment shrinkToFit="0" vertical="bottom" wrapText="1"/>
    </xf>
    <xf borderId="0" fillId="13" fontId="8" numFmtId="0" xfId="0" applyAlignment="1" applyFont="1">
      <alignment horizontal="left" readingOrder="0" shrinkToFit="0" wrapText="1"/>
    </xf>
    <xf borderId="0" fillId="0" fontId="8" numFmtId="49" xfId="0" applyAlignment="1" applyFont="1" applyNumberFormat="1">
      <alignment readingOrder="0" shrinkToFit="0" wrapText="1"/>
    </xf>
    <xf borderId="0" fillId="0" fontId="7" numFmtId="0" xfId="0" applyAlignment="1" applyFont="1">
      <alignment vertical="bottom"/>
    </xf>
    <xf borderId="0" fillId="5" fontId="12" numFmtId="49" xfId="0" applyAlignment="1" applyFont="1" applyNumberFormat="1">
      <alignment readingOrder="0" shrinkToFit="0" wrapText="1"/>
    </xf>
    <xf borderId="0" fillId="3" fontId="12" numFmtId="0" xfId="0" applyAlignment="1" applyFont="1">
      <alignment readingOrder="0" shrinkToFit="0" vertical="bottom" wrapText="1"/>
    </xf>
    <xf borderId="0" fillId="3" fontId="12" numFmtId="0" xfId="0" applyAlignment="1" applyFont="1">
      <alignment shrinkToFit="0" vertical="bottom" wrapText="1"/>
    </xf>
    <xf borderId="0" fillId="3" fontId="19" numFmtId="0" xfId="0" applyAlignment="1" applyFont="1">
      <alignment readingOrder="0" shrinkToFit="0" vertical="bottom" wrapText="0"/>
    </xf>
    <xf borderId="0" fillId="3" fontId="7" numFmtId="0" xfId="0" applyAlignment="1" applyFont="1">
      <alignment readingOrder="0" vertical="bottom"/>
    </xf>
    <xf borderId="0" fillId="3" fontId="8" numFmtId="49" xfId="0" applyAlignment="1" applyFont="1" applyNumberFormat="1">
      <alignment readingOrder="0" shrinkToFit="0" wrapText="1"/>
    </xf>
    <xf borderId="0" fillId="3" fontId="19" numFmtId="0" xfId="0" applyAlignment="1" applyFont="1">
      <alignment readingOrder="0" vertical="bottom"/>
    </xf>
    <xf borderId="0" fillId="3" fontId="7" numFmtId="0" xfId="0" applyAlignment="1" applyFont="1">
      <alignment shrinkToFit="0" vertical="bottom" wrapText="1"/>
    </xf>
    <xf borderId="0" fillId="9" fontId="12" numFmtId="0" xfId="0" applyAlignment="1" applyFont="1">
      <alignment readingOrder="0" shrinkToFit="0" vertical="bottom" wrapText="1"/>
    </xf>
    <xf borderId="0" fillId="9" fontId="12" numFmtId="0" xfId="0" applyAlignment="1" applyFont="1">
      <alignment shrinkToFit="0" vertical="bottom" wrapText="1"/>
    </xf>
    <xf borderId="0" fillId="9" fontId="19" numFmtId="0" xfId="0" applyAlignment="1" applyFont="1">
      <alignment readingOrder="0" shrinkToFit="0" vertical="bottom" wrapText="0"/>
    </xf>
    <xf borderId="0" fillId="9" fontId="19" numFmtId="0" xfId="0" applyAlignment="1" applyFont="1">
      <alignment readingOrder="0" shrinkToFit="0" vertical="bottom" wrapText="1"/>
    </xf>
    <xf borderId="0" fillId="9" fontId="7" numFmtId="0" xfId="0" applyAlignment="1" applyFont="1">
      <alignment readingOrder="0" vertical="bottom"/>
    </xf>
    <xf borderId="0" fillId="9" fontId="8" numFmtId="0" xfId="0" applyAlignment="1" applyFont="1">
      <alignment readingOrder="0" shrinkToFit="0" wrapText="1"/>
    </xf>
    <xf borderId="0" fillId="9" fontId="8" numFmtId="49" xfId="0" applyAlignment="1" applyFont="1" applyNumberFormat="1">
      <alignment readingOrder="0" shrinkToFit="0" wrapText="1"/>
    </xf>
    <xf borderId="0" fillId="9" fontId="19" numFmtId="0" xfId="0" applyAlignment="1" applyFont="1">
      <alignment readingOrder="0" vertical="bottom"/>
    </xf>
    <xf borderId="0" fillId="9" fontId="7" numFmtId="0" xfId="0" applyAlignment="1" applyFont="1">
      <alignment shrinkToFit="0" vertical="bottom" wrapText="1"/>
    </xf>
    <xf borderId="0" fillId="13" fontId="3" numFmtId="0" xfId="0" applyAlignment="1" applyFont="1">
      <alignment horizontal="left" readingOrder="0" shrinkToFit="0" vertical="top" wrapText="1"/>
    </xf>
    <xf borderId="0" fillId="13" fontId="3" numFmtId="0" xfId="0" applyAlignment="1" applyFont="1">
      <alignment horizontal="left" readingOrder="0" shrinkToFit="0" wrapText="1"/>
    </xf>
    <xf borderId="0" fillId="5" fontId="7" numFmtId="0" xfId="0" applyAlignment="1" applyFont="1">
      <alignment vertical="bottom"/>
    </xf>
    <xf borderId="0" fillId="10" fontId="27" numFmtId="0" xfId="0" applyAlignment="1" applyFont="1">
      <alignment shrinkToFit="0" vertical="bottom" wrapText="1"/>
    </xf>
    <xf borderId="0" fillId="13" fontId="8" numFmtId="0" xfId="0" applyAlignment="1" applyFont="1">
      <alignment readingOrder="0"/>
    </xf>
    <xf borderId="0" fillId="14" fontId="18" numFmtId="0" xfId="0" applyAlignment="1" applyFill="1" applyFont="1">
      <alignment readingOrder="0" vertical="top"/>
    </xf>
    <xf borderId="0" fillId="10" fontId="7" numFmtId="0" xfId="0" applyAlignment="1" applyFont="1">
      <alignment shrinkToFit="0" vertical="bottom" wrapText="1"/>
    </xf>
    <xf borderId="0" fillId="15" fontId="7" numFmtId="0" xfId="0" applyAlignment="1" applyFill="1" applyFont="1">
      <alignment vertical="top"/>
    </xf>
    <xf borderId="0" fillId="15" fontId="0" numFmtId="0" xfId="0" applyAlignment="1" applyFont="1">
      <alignment readingOrder="0"/>
    </xf>
    <xf borderId="0" fillId="15" fontId="28" numFmtId="0" xfId="0" applyAlignment="1" applyFont="1">
      <alignment readingOrder="0" shrinkToFit="0" wrapText="1"/>
    </xf>
    <xf borderId="0" fillId="15" fontId="0" numFmtId="0" xfId="0" applyAlignment="1" applyFont="1">
      <alignment readingOrder="0" shrinkToFit="0" wrapText="1"/>
    </xf>
    <xf borderId="0" fillId="4" fontId="12" numFmtId="0" xfId="0" applyAlignment="1" applyFont="1">
      <alignment horizontal="right" readingOrder="0" vertical="bottom"/>
    </xf>
    <xf borderId="0" fillId="15" fontId="0" numFmtId="0" xfId="0" applyFont="1"/>
    <xf borderId="0" fillId="0" fontId="12" numFmtId="0" xfId="0" applyAlignment="1" applyFont="1">
      <alignment horizontal="right" readingOrder="0" vertical="bottom"/>
    </xf>
    <xf borderId="0" fillId="5" fontId="7" numFmtId="0" xfId="0" applyAlignment="1" applyFont="1">
      <alignment readingOrder="0" shrinkToFit="0" vertical="bottom" wrapText="1"/>
    </xf>
    <xf borderId="0" fillId="9" fontId="0" numFmtId="0" xfId="0" applyAlignment="1" applyFont="1">
      <alignment readingOrder="0"/>
    </xf>
    <xf borderId="0" fillId="9" fontId="29" numFmtId="0" xfId="0" applyAlignment="1" applyFont="1">
      <alignment readingOrder="0" shrinkToFit="0" wrapText="1"/>
    </xf>
    <xf borderId="0" fillId="9" fontId="0" numFmtId="0" xfId="0" applyAlignment="1" applyFont="1">
      <alignment shrinkToFit="0" wrapText="1"/>
    </xf>
    <xf borderId="0" fillId="9" fontId="12" numFmtId="0" xfId="0" applyAlignment="1" applyFont="1">
      <alignment horizontal="left" readingOrder="0"/>
    </xf>
    <xf borderId="0" fillId="9" fontId="8" numFmtId="0" xfId="0" applyAlignment="1" applyFont="1">
      <alignment shrinkToFit="0" wrapText="1"/>
    </xf>
    <xf borderId="0" fillId="9" fontId="0" numFmtId="0" xfId="0" applyFont="1"/>
    <xf borderId="0" fillId="4" fontId="12" numFmtId="0" xfId="0" applyAlignment="1" applyFont="1">
      <alignment horizontal="left" readingOrder="0" shrinkToFit="0" wrapText="1"/>
    </xf>
    <xf borderId="0" fillId="0" fontId="12" numFmtId="0" xfId="0" applyAlignment="1" applyFont="1">
      <alignment horizontal="left" readingOrder="0" shrinkToFit="0" wrapText="1"/>
    </xf>
    <xf borderId="0" fillId="13" fontId="12" numFmtId="0" xfId="0" applyAlignment="1" applyFont="1">
      <alignment horizontal="left" readingOrder="0"/>
    </xf>
    <xf borderId="0" fillId="15" fontId="0" numFmtId="0" xfId="0" applyAlignment="1" applyFont="1">
      <alignment readingOrder="0"/>
    </xf>
    <xf borderId="0" fillId="15" fontId="30" numFmtId="0" xfId="0" applyAlignment="1" applyFont="1">
      <alignment readingOrder="0" shrinkToFit="0" wrapText="1"/>
    </xf>
    <xf borderId="0" fillId="5" fontId="26" numFmtId="0" xfId="0" applyAlignment="1" applyFont="1">
      <alignment readingOrder="0" shrinkToFit="0" wrapText="1"/>
    </xf>
    <xf borderId="0" fillId="7" fontId="12" numFmtId="0" xfId="0" applyAlignment="1" applyFont="1">
      <alignment horizontal="left" readingOrder="0" shrinkToFit="0" wrapText="1"/>
    </xf>
    <xf borderId="0" fillId="16" fontId="7" numFmtId="0" xfId="0" applyAlignment="1" applyFill="1" applyFont="1">
      <alignment vertical="top"/>
    </xf>
    <xf borderId="0" fillId="16" fontId="0" numFmtId="0" xfId="0" applyAlignment="1" applyFont="1">
      <alignment readingOrder="0"/>
    </xf>
    <xf borderId="0" fillId="16" fontId="31" numFmtId="0" xfId="0" applyAlignment="1" applyFont="1">
      <alignment readingOrder="0" shrinkToFit="0" wrapText="1"/>
    </xf>
    <xf borderId="0" fillId="16" fontId="32" numFmtId="0" xfId="0" applyAlignment="1" applyFont="1">
      <alignment readingOrder="0"/>
    </xf>
    <xf borderId="0" fillId="16" fontId="1" numFmtId="0" xfId="0" applyAlignment="1" applyFont="1">
      <alignment readingOrder="0" shrinkToFit="0" wrapText="1"/>
    </xf>
    <xf borderId="0" fillId="16" fontId="1" numFmtId="0" xfId="0" applyFont="1"/>
    <xf borderId="0" fillId="16" fontId="1" numFmtId="0" xfId="0" applyAlignment="1" applyFont="1">
      <alignment readingOrder="0"/>
    </xf>
    <xf borderId="0" fillId="0" fontId="12" numFmtId="0" xfId="0" applyAlignment="1" applyFont="1">
      <alignment horizontal="left" readingOrder="0"/>
    </xf>
    <xf borderId="0" fillId="3" fontId="33" numFmtId="0" xfId="0" applyAlignment="1" applyFont="1">
      <alignment readingOrder="0"/>
    </xf>
    <xf borderId="0" fillId="3" fontId="34" numFmtId="0" xfId="0" applyAlignment="1" applyFont="1">
      <alignment readingOrder="0" shrinkToFit="0" wrapText="1"/>
    </xf>
    <xf borderId="0" fillId="3" fontId="33" numFmtId="0" xfId="0" applyAlignment="1" applyFont="1">
      <alignment shrinkToFit="0" wrapText="1"/>
    </xf>
    <xf borderId="0" fillId="3" fontId="8" numFmtId="0" xfId="0" applyAlignment="1" applyFont="1">
      <alignment horizontal="left" shrinkToFit="0" wrapText="1"/>
    </xf>
    <xf borderId="0" fillId="3" fontId="1" numFmtId="0" xfId="0" applyFont="1"/>
    <xf borderId="0" fillId="16" fontId="35" numFmtId="0" xfId="0" applyAlignment="1" applyFont="1">
      <alignment readingOrder="0" shrinkToFit="0" wrapText="1"/>
    </xf>
    <xf borderId="0" fillId="0" fontId="25" numFmtId="0" xfId="0" applyAlignment="1" applyFont="1">
      <alignment shrinkToFit="0" vertical="bottom" wrapText="1"/>
    </xf>
    <xf borderId="0" fillId="9" fontId="1" numFmtId="0" xfId="0" applyAlignment="1" applyFont="1">
      <alignment readingOrder="0"/>
    </xf>
    <xf borderId="0" fillId="9" fontId="1" numFmtId="0" xfId="0" applyAlignment="1" applyFont="1">
      <alignment shrinkToFit="0" wrapText="1"/>
    </xf>
    <xf borderId="0" fillId="9" fontId="8" numFmtId="0" xfId="0" applyAlignment="1" applyFont="1">
      <alignment horizontal="left" shrinkToFit="0" wrapText="1"/>
    </xf>
    <xf borderId="0" fillId="9" fontId="1" numFmtId="0" xfId="0" applyFont="1"/>
    <xf borderId="0" fillId="17" fontId="7" numFmtId="0" xfId="0" applyAlignment="1" applyFill="1" applyFont="1">
      <alignment vertical="top"/>
    </xf>
    <xf borderId="0" fillId="17" fontId="0" numFmtId="0" xfId="0" applyAlignment="1" applyFont="1">
      <alignment readingOrder="0"/>
    </xf>
    <xf borderId="0" fillId="17" fontId="36" numFmtId="0" xfId="0" applyAlignment="1" applyFont="1">
      <alignment readingOrder="0" shrinkToFit="0" wrapText="1"/>
    </xf>
    <xf borderId="0" fillId="0" fontId="8" numFmtId="0" xfId="0" applyAlignment="1" applyFont="1">
      <alignment horizontal="left"/>
    </xf>
    <xf borderId="0" fillId="17" fontId="0" numFmtId="0" xfId="0" applyFont="1"/>
    <xf borderId="0" fillId="17" fontId="0" numFmtId="0" xfId="0" applyAlignment="1" applyFont="1">
      <alignment readingOrder="0" shrinkToFit="0" wrapText="1"/>
    </xf>
    <xf borderId="0" fillId="9" fontId="33" numFmtId="0" xfId="0" applyAlignment="1" applyFont="1">
      <alignment readingOrder="0"/>
    </xf>
    <xf borderId="0" fillId="9" fontId="37" numFmtId="0" xfId="0" applyAlignment="1" applyFont="1">
      <alignment readingOrder="0" shrinkToFit="0" wrapText="1"/>
    </xf>
    <xf borderId="0" fillId="9" fontId="33" numFmtId="0" xfId="0" applyAlignment="1" applyFont="1">
      <alignment readingOrder="0" shrinkToFit="0" wrapText="1"/>
    </xf>
    <xf borderId="0" fillId="9" fontId="8" numFmtId="0" xfId="0" applyAlignment="1" applyFont="1">
      <alignment horizontal="left"/>
    </xf>
    <xf borderId="0" fillId="9" fontId="33" numFmtId="0" xfId="0" applyAlignment="1" applyFont="1">
      <alignment shrinkToFit="0" wrapText="1"/>
    </xf>
    <xf borderId="0" fillId="0" fontId="38" numFmtId="0" xfId="0" applyAlignment="1" applyFont="1">
      <alignment readingOrder="0" shrinkToFit="0" wrapText="1"/>
    </xf>
    <xf borderId="0" fillId="10" fontId="0" numFmtId="0" xfId="0" applyAlignment="1" applyFont="1">
      <alignment readingOrder="0"/>
    </xf>
    <xf borderId="0" fillId="10" fontId="39" numFmtId="0" xfId="0" applyAlignment="1" applyFont="1">
      <alignment readingOrder="0" shrinkToFit="0" wrapText="1"/>
    </xf>
    <xf borderId="0" fillId="10" fontId="12" numFmtId="0" xfId="0" applyAlignment="1" applyFont="1">
      <alignment horizontal="left" readingOrder="0"/>
    </xf>
    <xf borderId="0" fillId="10" fontId="40" numFmtId="0" xfId="0" applyAlignment="1" applyFont="1">
      <alignment readingOrder="0" shrinkToFit="0" wrapText="1"/>
    </xf>
    <xf borderId="0" fillId="0" fontId="8" numFmtId="3" xfId="0" applyAlignment="1" applyFont="1" applyNumberFormat="1">
      <alignment horizontal="left" readingOrder="0" shrinkToFit="0" wrapText="1"/>
    </xf>
    <xf borderId="0" fillId="10" fontId="1" numFmtId="0" xfId="0" applyFont="1"/>
    <xf borderId="0" fillId="0" fontId="7" numFmtId="0" xfId="0" applyAlignment="1" applyFont="1">
      <alignment shrinkToFit="0" vertical="bottom" wrapText="1"/>
    </xf>
    <xf borderId="0" fillId="10" fontId="41" numFmtId="0" xfId="0" applyAlignment="1" applyFont="1">
      <alignment readingOrder="0" shrinkToFit="0" wrapText="1"/>
    </xf>
    <xf borderId="0" fillId="10" fontId="1" numFmtId="0" xfId="0" applyAlignment="1" applyFont="1">
      <alignment readingOrder="0"/>
    </xf>
    <xf borderId="0" fillId="10" fontId="42" numFmtId="0" xfId="0" applyAlignment="1" applyFont="1">
      <alignment horizontal="left" readingOrder="0" shrinkToFit="0" wrapText="1"/>
    </xf>
    <xf borderId="0" fillId="10" fontId="1" numFmtId="0" xfId="0" applyAlignment="1" applyFont="1">
      <alignment readingOrder="0" shrinkToFit="0" wrapText="1"/>
    </xf>
    <xf borderId="0" fillId="10" fontId="43" numFmtId="0" xfId="0" applyAlignment="1" applyFont="1">
      <alignment horizontal="left" readingOrder="0" shrinkToFit="0" wrapText="1"/>
    </xf>
    <xf borderId="0" fillId="10" fontId="1" numFmtId="0" xfId="0" applyAlignment="1" applyFont="1">
      <alignment readingOrder="0" shrinkToFit="0" wrapText="1"/>
    </xf>
    <xf borderId="0" fillId="9" fontId="0" numFmtId="0" xfId="0" applyAlignment="1" applyFont="1">
      <alignment readingOrder="0" shrinkToFit="0" wrapText="1"/>
    </xf>
    <xf borderId="0" fillId="9" fontId="1" numFmtId="0" xfId="0" applyAlignment="1" applyFont="1">
      <alignment readingOrder="0" shrinkToFit="0" wrapText="1"/>
    </xf>
    <xf borderId="0" fillId="9" fontId="7" numFmtId="49" xfId="0" applyAlignment="1" applyFont="1" applyNumberFormat="1">
      <alignment shrinkToFit="0" vertical="bottom" wrapText="1"/>
    </xf>
    <xf borderId="0" fillId="10" fontId="4" numFmtId="0" xfId="0" applyAlignment="1" applyFont="1">
      <alignment readingOrder="0"/>
    </xf>
    <xf borderId="0" fillId="10" fontId="44" numFmtId="0" xfId="0" applyAlignment="1" applyFont="1">
      <alignment readingOrder="0" shrinkToFit="0" wrapText="1"/>
    </xf>
    <xf borderId="0" fillId="18" fontId="7" numFmtId="0" xfId="0" applyAlignment="1" applyFill="1" applyFont="1">
      <alignment vertical="top"/>
    </xf>
    <xf borderId="0" fillId="18" fontId="0" numFmtId="0" xfId="0" applyAlignment="1" applyFont="1">
      <alignment readingOrder="0"/>
    </xf>
    <xf borderId="0" fillId="18" fontId="45" numFmtId="0" xfId="0" applyAlignment="1" applyFont="1">
      <alignment readingOrder="0" shrinkToFit="0" wrapText="1"/>
    </xf>
    <xf borderId="0" fillId="18" fontId="1" numFmtId="0" xfId="0" applyAlignment="1" applyFont="1">
      <alignment readingOrder="0"/>
    </xf>
    <xf borderId="0" fillId="18" fontId="1" numFmtId="0" xfId="0" applyAlignment="1" applyFont="1">
      <alignment readingOrder="0" shrinkToFit="0" wrapText="1"/>
    </xf>
    <xf borderId="0" fillId="0" fontId="12" numFmtId="0" xfId="0" applyAlignment="1" applyFont="1">
      <alignment horizontal="right" vertical="bottom"/>
    </xf>
    <xf borderId="0" fillId="18" fontId="1" numFmtId="0" xfId="0" applyFont="1"/>
    <xf borderId="0" fillId="0" fontId="12" numFmtId="0" xfId="0" applyAlignment="1" applyFont="1">
      <alignment horizontal="right" vertical="bottom"/>
    </xf>
    <xf borderId="0" fillId="7" fontId="8" numFmtId="0" xfId="0" applyAlignment="1" applyFont="1">
      <alignment horizontal="left" readingOrder="0" shrinkToFit="0" wrapText="1"/>
    </xf>
    <xf borderId="0" fillId="18" fontId="46" numFmtId="0" xfId="0" applyAlignment="1" applyFont="1">
      <alignment readingOrder="0"/>
    </xf>
    <xf borderId="0" fillId="18" fontId="47" numFmtId="0" xfId="0" applyAlignment="1" applyFont="1">
      <alignment readingOrder="0" shrinkToFit="0" wrapText="1"/>
    </xf>
    <xf borderId="0" fillId="4" fontId="7" numFmtId="0" xfId="0" applyAlignment="1" applyFont="1">
      <alignment vertical="top"/>
    </xf>
    <xf borderId="0" fillId="4" fontId="0" numFmtId="0" xfId="0" applyAlignment="1" applyFont="1">
      <alignment readingOrder="0"/>
    </xf>
    <xf borderId="0" fillId="4" fontId="48" numFmtId="0" xfId="0" applyAlignment="1" applyFont="1">
      <alignment readingOrder="0" shrinkToFit="0" wrapText="1"/>
    </xf>
    <xf borderId="0" fillId="4" fontId="12" numFmtId="0" xfId="0" applyAlignment="1" applyFont="1">
      <alignment horizontal="left" readingOrder="0"/>
    </xf>
    <xf borderId="0" fillId="0" fontId="7" numFmtId="0" xfId="0" applyAlignment="1" applyFont="1">
      <alignment vertical="bottom"/>
    </xf>
    <xf borderId="0" fillId="4" fontId="0" numFmtId="0" xfId="0" applyFont="1"/>
    <xf borderId="0" fillId="4" fontId="8" numFmtId="0" xfId="0" applyAlignment="1" applyFont="1">
      <alignment readingOrder="0" shrinkToFit="0" wrapText="1"/>
    </xf>
    <xf borderId="0" fillId="4" fontId="0" numFmtId="0" xfId="0" applyAlignment="1" applyFont="1">
      <alignment readingOrder="0" shrinkToFit="0" wrapText="1"/>
    </xf>
    <xf borderId="0" fillId="4" fontId="49" numFmtId="0" xfId="0" applyAlignment="1" applyFont="1">
      <alignment readingOrder="0" shrinkToFit="0" wrapText="1"/>
    </xf>
    <xf borderId="0" fillId="4" fontId="7" numFmtId="0" xfId="0" applyAlignment="1" applyFont="1">
      <alignment readingOrder="0" shrinkToFit="0" vertical="bottom" wrapText="1"/>
    </xf>
    <xf borderId="0" fillId="9" fontId="50" numFmtId="0" xfId="0" applyAlignment="1" applyFont="1">
      <alignment horizontal="left" readingOrder="0"/>
    </xf>
    <xf borderId="0" fillId="4" fontId="33" numFmtId="0" xfId="0" applyAlignment="1" applyFont="1">
      <alignment readingOrder="0"/>
    </xf>
    <xf borderId="0" fillId="4" fontId="33" numFmtId="0" xfId="0" applyAlignment="1" applyFont="1">
      <alignment readingOrder="0" shrinkToFit="0" wrapText="1"/>
    </xf>
    <xf borderId="0" fillId="4" fontId="51" numFmtId="0" xfId="0" applyAlignment="1" applyFont="1">
      <alignment readingOrder="0" shrinkToFit="0" wrapText="1"/>
    </xf>
    <xf borderId="0" fillId="12" fontId="7" numFmtId="0" xfId="0" applyAlignment="1" applyFont="1">
      <alignment vertical="top"/>
    </xf>
    <xf borderId="0" fillId="12" fontId="0" numFmtId="0" xfId="0" applyAlignment="1" applyFont="1">
      <alignment readingOrder="0"/>
    </xf>
    <xf borderId="0" fillId="12" fontId="52" numFmtId="0" xfId="0" applyAlignment="1" applyFont="1">
      <alignment readingOrder="0" shrinkToFit="0" wrapText="1"/>
    </xf>
    <xf borderId="0" fillId="12" fontId="0" numFmtId="0" xfId="0" applyAlignment="1" applyFont="1">
      <alignment readingOrder="0" shrinkToFit="0" wrapText="1"/>
    </xf>
    <xf borderId="0" fillId="12" fontId="0" numFmtId="0" xfId="0" applyFont="1"/>
    <xf borderId="0" fillId="12" fontId="0" numFmtId="164" xfId="0" applyAlignment="1" applyFont="1" applyNumberFormat="1">
      <alignment readingOrder="0"/>
    </xf>
    <xf borderId="0" fillId="12" fontId="0" numFmtId="164" xfId="0" applyAlignment="1" applyFont="1" applyNumberFormat="1">
      <alignment readingOrder="0" shrinkToFit="0" wrapText="1"/>
    </xf>
    <xf borderId="0" fillId="12" fontId="0" numFmtId="0" xfId="0" applyAlignment="1" applyFont="1">
      <alignment readingOrder="0" shrinkToFit="0" wrapText="1"/>
    </xf>
    <xf borderId="0" fillId="10" fontId="0" numFmtId="0" xfId="0" applyAlignment="1" applyFont="1">
      <alignment readingOrder="0" shrinkToFit="0" wrapText="1"/>
    </xf>
    <xf borderId="0" fillId="10" fontId="0" numFmtId="0" xfId="0" applyFont="1"/>
    <xf borderId="0" fillId="10" fontId="53" numFmtId="0" xfId="0" applyAlignment="1" applyFont="1">
      <alignment readingOrder="0" shrinkToFit="0" wrapText="1"/>
    </xf>
    <xf borderId="0" fillId="19" fontId="8" numFmtId="49" xfId="0" applyAlignment="1" applyFill="1" applyFont="1" applyNumberFormat="1">
      <alignment readingOrder="0" shrinkToFit="0" wrapText="1"/>
    </xf>
    <xf borderId="0" fillId="20" fontId="33" numFmtId="0" xfId="0" applyAlignment="1" applyFill="1" applyFont="1">
      <alignment readingOrder="0"/>
    </xf>
    <xf borderId="0" fillId="20" fontId="54" numFmtId="0" xfId="0" applyAlignment="1" applyFont="1">
      <alignment readingOrder="0" shrinkToFit="0" wrapText="1"/>
    </xf>
    <xf borderId="0" fillId="20" fontId="33" numFmtId="0" xfId="0" applyAlignment="1" applyFont="1">
      <alignment shrinkToFit="0" wrapText="1"/>
    </xf>
    <xf borderId="0" fillId="20" fontId="8" numFmtId="0" xfId="0" applyAlignment="1" applyFont="1">
      <alignment horizontal="left" readingOrder="0" shrinkToFit="0" wrapText="1"/>
    </xf>
    <xf borderId="0" fillId="20" fontId="8" numFmtId="0" xfId="0" applyFont="1"/>
    <xf borderId="0" fillId="20" fontId="8" numFmtId="0" xfId="0" applyAlignment="1" applyFont="1">
      <alignment shrinkToFit="0" wrapText="1"/>
    </xf>
    <xf borderId="0" fillId="20" fontId="0" numFmtId="0" xfId="0" applyFont="1"/>
    <xf borderId="0" fillId="5" fontId="8" numFmtId="49" xfId="0" applyAlignment="1" applyFont="1" applyNumberFormat="1">
      <alignment readingOrder="0" shrinkToFit="0" wrapText="1"/>
    </xf>
    <xf borderId="0" fillId="5" fontId="8" numFmtId="0" xfId="0" applyAlignment="1" applyFont="1">
      <alignment readingOrder="0" shrinkToFit="0" wrapText="1"/>
    </xf>
    <xf borderId="0" fillId="5" fontId="12" numFmtId="49" xfId="0" applyAlignment="1" applyFont="1" applyNumberFormat="1">
      <alignment horizontal="left" readingOrder="0" shrinkToFit="0" wrapText="1"/>
    </xf>
    <xf borderId="0" fillId="21" fontId="7" numFmtId="0" xfId="0" applyAlignment="1" applyFill="1" applyFont="1">
      <alignment vertical="top"/>
    </xf>
    <xf borderId="0" fillId="21" fontId="55" numFmtId="0" xfId="0" applyAlignment="1" applyFont="1">
      <alignment readingOrder="0"/>
    </xf>
    <xf borderId="0" fillId="21" fontId="56" numFmtId="0" xfId="0" applyAlignment="1" applyFont="1">
      <alignment readingOrder="0" shrinkToFit="0" wrapText="1"/>
    </xf>
    <xf borderId="0" fillId="21" fontId="0" numFmtId="0" xfId="0" applyAlignment="1" applyFont="1">
      <alignment readingOrder="0"/>
    </xf>
    <xf borderId="0" fillId="21" fontId="57" numFmtId="0" xfId="0" applyAlignment="1" applyFont="1">
      <alignment readingOrder="0" shrinkToFit="0" wrapText="1"/>
    </xf>
    <xf borderId="0" fillId="21" fontId="0" numFmtId="0" xfId="0" applyFont="1"/>
    <xf borderId="0" fillId="21" fontId="0" numFmtId="0" xfId="0" applyAlignment="1" applyFont="1">
      <alignment readingOrder="0" shrinkToFit="0" wrapText="1"/>
    </xf>
    <xf borderId="0" fillId="9" fontId="58" numFmtId="0" xfId="0" applyAlignment="1" applyFont="1">
      <alignment readingOrder="0"/>
    </xf>
    <xf borderId="0" fillId="9" fontId="59" numFmtId="0" xfId="0" applyAlignment="1" applyFont="1">
      <alignment readingOrder="0" shrinkToFit="0" wrapText="1"/>
    </xf>
    <xf borderId="0" fillId="9" fontId="60" numFmtId="0" xfId="0" applyAlignment="1" applyFont="1">
      <alignment readingOrder="0"/>
    </xf>
    <xf borderId="0" fillId="9" fontId="60" numFmtId="0" xfId="0" applyAlignment="1" applyFont="1">
      <alignment shrinkToFit="0" wrapText="1"/>
    </xf>
    <xf borderId="0" fillId="9" fontId="61" numFmtId="0" xfId="0" applyAlignment="1" applyFont="1">
      <alignment horizontal="left" shrinkToFit="0" wrapText="1"/>
    </xf>
    <xf borderId="0" fillId="9" fontId="61" numFmtId="0" xfId="0" applyFont="1"/>
    <xf borderId="0" fillId="9" fontId="61" numFmtId="0" xfId="0" applyAlignment="1" applyFont="1">
      <alignment shrinkToFit="0" wrapText="1"/>
    </xf>
    <xf borderId="0" fillId="9" fontId="60" numFmtId="0" xfId="0" applyFont="1"/>
    <xf borderId="0" fillId="3" fontId="62" numFmtId="0" xfId="0" applyAlignment="1" applyFont="1">
      <alignment readingOrder="0"/>
    </xf>
    <xf borderId="0" fillId="3" fontId="63" numFmtId="0" xfId="0" applyAlignment="1" applyFont="1">
      <alignment readingOrder="0" shrinkToFit="0" wrapText="1"/>
    </xf>
    <xf borderId="0" fillId="3" fontId="0" numFmtId="0" xfId="0" applyFont="1"/>
    <xf borderId="0" fillId="6" fontId="0" numFmtId="0" xfId="0" applyAlignment="1" applyFont="1">
      <alignment readingOrder="0"/>
    </xf>
    <xf borderId="0" fillId="6" fontId="64" numFmtId="0" xfId="0" applyAlignment="1" applyFont="1">
      <alignment readingOrder="0" shrinkToFit="0" wrapText="1"/>
    </xf>
    <xf borderId="0" fillId="6" fontId="0" numFmtId="0" xfId="0" applyAlignment="1" applyFont="1">
      <alignment readingOrder="0" shrinkToFit="0" wrapText="1"/>
    </xf>
    <xf borderId="0" fillId="6" fontId="0" numFmtId="0" xfId="0" applyFont="1"/>
    <xf borderId="0" fillId="5" fontId="65" numFmtId="0" xfId="0" applyAlignment="1" applyFont="1">
      <alignment readingOrder="0" shrinkToFit="0" wrapText="1"/>
    </xf>
    <xf borderId="0" fillId="0" fontId="12" numFmtId="49" xfId="0" applyAlignment="1" applyFont="1" applyNumberFormat="1">
      <alignment horizontal="left" readingOrder="0" shrinkToFit="0" wrapText="1"/>
    </xf>
    <xf borderId="0" fillId="0" fontId="8" numFmtId="49" xfId="0" applyAlignment="1" applyFont="1" applyNumberFormat="1">
      <alignment readingOrder="0" shrinkToFit="0" wrapText="1"/>
    </xf>
    <xf borderId="0" fillId="17" fontId="7" numFmtId="0" xfId="0" applyAlignment="1" applyFont="1">
      <alignment readingOrder="0" vertical="top"/>
    </xf>
    <xf borderId="0" fillId="17" fontId="33" numFmtId="0" xfId="0" applyAlignment="1" applyFont="1">
      <alignment readingOrder="0"/>
    </xf>
    <xf borderId="0" fillId="17" fontId="66" numFmtId="0" xfId="0" applyAlignment="1" applyFont="1">
      <alignment readingOrder="0" shrinkToFit="0" wrapText="1"/>
    </xf>
    <xf borderId="0" fillId="17" fontId="33" numFmtId="0" xfId="0" applyAlignment="1" applyFont="1">
      <alignment readingOrder="0" shrinkToFit="0" wrapText="1"/>
    </xf>
    <xf borderId="0" fillId="17" fontId="8" numFmtId="0" xfId="0" applyAlignment="1" applyFont="1">
      <alignment horizontal="left" shrinkToFit="0" wrapText="1"/>
    </xf>
    <xf borderId="0" fillId="17" fontId="8" numFmtId="0" xfId="0" applyFont="1"/>
    <xf borderId="0" fillId="9" fontId="0" numFmtId="0" xfId="0" applyAlignment="1" applyFont="1">
      <alignment readingOrder="0" shrinkToFit="0" wrapText="1"/>
    </xf>
    <xf borderId="0" fillId="17" fontId="0" numFmtId="164" xfId="0" applyAlignment="1" applyFont="1" applyNumberFormat="1">
      <alignment readingOrder="0"/>
    </xf>
    <xf borderId="0" fillId="17" fontId="0" numFmtId="164" xfId="0" applyAlignment="1" applyFont="1" applyNumberFormat="1">
      <alignment readingOrder="0" shrinkToFit="0" wrapText="1"/>
    </xf>
    <xf borderId="0" fillId="7" fontId="0" numFmtId="0" xfId="0" applyAlignment="1" applyFont="1">
      <alignment readingOrder="0"/>
    </xf>
    <xf borderId="0" fillId="7" fontId="67" numFmtId="0" xfId="0" applyAlignment="1" applyFont="1">
      <alignment readingOrder="0" shrinkToFit="0" wrapText="1"/>
    </xf>
    <xf borderId="0" fillId="7" fontId="8" numFmtId="0" xfId="0" applyAlignment="1" applyFont="1">
      <alignment readingOrder="0" shrinkToFit="0" wrapText="1"/>
    </xf>
    <xf borderId="0" fillId="7" fontId="8" numFmtId="0" xfId="0" applyFont="1"/>
    <xf borderId="0" fillId="0" fontId="25" numFmtId="49" xfId="0" applyAlignment="1" applyFont="1" applyNumberFormat="1">
      <alignment shrinkToFit="0" vertical="bottom" wrapText="1"/>
    </xf>
    <xf borderId="0" fillId="9" fontId="68" numFmtId="0" xfId="0" applyAlignment="1" applyFont="1">
      <alignment readingOrder="0"/>
    </xf>
    <xf borderId="0" fillId="9" fontId="68" numFmtId="0" xfId="0" applyAlignment="1" applyFont="1">
      <alignment shrinkToFit="0" wrapText="1"/>
    </xf>
    <xf borderId="0" fillId="22" fontId="7" numFmtId="0" xfId="0" applyAlignment="1" applyFill="1" applyFont="1">
      <alignment vertical="top"/>
    </xf>
    <xf borderId="0" fillId="22" fontId="7" numFmtId="0" xfId="0" applyAlignment="1" applyFont="1">
      <alignment vertical="bottom"/>
    </xf>
    <xf borderId="0" fillId="22" fontId="69" numFmtId="0" xfId="0" applyAlignment="1" applyFont="1">
      <alignment shrinkToFit="0" vertical="bottom" wrapText="1"/>
    </xf>
    <xf borderId="0" fillId="22" fontId="7" numFmtId="0" xfId="0" applyAlignment="1" applyFont="1">
      <alignment readingOrder="0" vertical="bottom"/>
    </xf>
    <xf borderId="0" fillId="22" fontId="7" numFmtId="0" xfId="0" applyAlignment="1" applyFont="1">
      <alignment readingOrder="0" shrinkToFit="0" vertical="bottom" wrapText="1"/>
    </xf>
    <xf borderId="0" fillId="22" fontId="70" numFmtId="0" xfId="0" applyAlignment="1" applyFont="1">
      <alignment readingOrder="0" shrinkToFit="0" vertical="bottom" wrapText="1"/>
    </xf>
    <xf borderId="0" fillId="9" fontId="50" numFmtId="0" xfId="0" applyAlignment="1" applyFont="1">
      <alignment vertical="bottom"/>
    </xf>
    <xf borderId="0" fillId="9" fontId="71" numFmtId="0" xfId="0" applyAlignment="1" applyFont="1">
      <alignment shrinkToFit="0" vertical="bottom" wrapText="1"/>
    </xf>
    <xf borderId="0" fillId="9" fontId="50" numFmtId="0" xfId="0" applyAlignment="1" applyFont="1">
      <alignment readingOrder="0" vertical="bottom"/>
    </xf>
    <xf borderId="0" fillId="9" fontId="50" numFmtId="0" xfId="0" applyAlignment="1" applyFont="1">
      <alignment readingOrder="0" shrinkToFit="0" vertical="bottom" wrapText="1"/>
    </xf>
    <xf borderId="0" fillId="9" fontId="7" numFmtId="0" xfId="0" applyAlignment="1" applyFont="1">
      <alignment vertical="bottom"/>
    </xf>
    <xf borderId="0" fillId="9" fontId="50" numFmtId="0" xfId="0" applyAlignment="1" applyFont="1">
      <alignment shrinkToFit="0" vertical="bottom" wrapText="1"/>
    </xf>
    <xf borderId="0" fillId="23" fontId="7" numFmtId="0" xfId="0" applyAlignment="1" applyFill="1" applyFont="1">
      <alignment vertical="top"/>
    </xf>
    <xf borderId="0" fillId="23" fontId="7" numFmtId="0" xfId="0" applyAlignment="1" applyFont="1">
      <alignment vertical="bottom"/>
    </xf>
    <xf borderId="0" fillId="23" fontId="72" numFmtId="0" xfId="0" applyAlignment="1" applyFont="1">
      <alignment shrinkToFit="0" vertical="bottom" wrapText="1"/>
    </xf>
    <xf borderId="0" fillId="23" fontId="7" numFmtId="0" xfId="0" applyAlignment="1" applyFont="1">
      <alignment readingOrder="0" vertical="bottom"/>
    </xf>
    <xf borderId="0" fillId="23" fontId="7" numFmtId="0" xfId="0" applyAlignment="1" applyFont="1">
      <alignment readingOrder="0" shrinkToFit="0" vertical="bottom" wrapText="1"/>
    </xf>
    <xf borderId="0" fillId="23" fontId="73" numFmtId="0" xfId="0" applyAlignment="1" applyFont="1">
      <alignment readingOrder="0" shrinkToFit="0" vertical="bottom" wrapText="1"/>
    </xf>
    <xf borderId="0" fillId="3" fontId="50" numFmtId="0" xfId="0" applyAlignment="1" applyFont="1">
      <alignment vertical="bottom"/>
    </xf>
    <xf borderId="0" fillId="3" fontId="74" numFmtId="0" xfId="0" applyAlignment="1" applyFont="1">
      <alignment shrinkToFit="0" vertical="bottom" wrapText="1"/>
    </xf>
    <xf borderId="0" fillId="3" fontId="50" numFmtId="0" xfId="0" applyAlignment="1" applyFont="1">
      <alignment readingOrder="0" vertical="bottom"/>
    </xf>
    <xf borderId="0" fillId="3" fontId="50" numFmtId="0" xfId="0" applyAlignment="1" applyFont="1">
      <alignment shrinkToFit="0" vertical="bottom" wrapText="1"/>
    </xf>
    <xf borderId="0" fillId="3" fontId="7" numFmtId="0" xfId="0" applyAlignment="1" applyFont="1">
      <alignment vertical="bottom"/>
    </xf>
    <xf borderId="0" fillId="3" fontId="75" numFmtId="0" xfId="0" applyAlignment="1" applyFont="1">
      <alignment shrinkToFit="0" vertical="bottom" wrapText="1"/>
    </xf>
    <xf borderId="0" fillId="0" fontId="7" numFmtId="49" xfId="0" applyAlignment="1" applyFont="1" applyNumberFormat="1">
      <alignment shrinkToFit="0" vertical="top" wrapText="1"/>
    </xf>
    <xf borderId="0" fillId="2" fontId="7" numFmtId="0" xfId="0" applyAlignment="1" applyFont="1">
      <alignment vertical="top"/>
    </xf>
    <xf borderId="0" fillId="2" fontId="7" numFmtId="0" xfId="0" applyAlignment="1" applyFont="1">
      <alignment vertical="bottom"/>
    </xf>
    <xf borderId="0" fillId="2" fontId="7" numFmtId="0" xfId="0" applyAlignment="1" applyFont="1">
      <alignment shrinkToFit="0" vertical="bottom" wrapText="1"/>
    </xf>
    <xf borderId="0" fillId="2" fontId="7" numFmtId="0" xfId="0" applyAlignment="1" applyFont="1">
      <alignment readingOrder="0" vertical="bottom"/>
    </xf>
    <xf borderId="0" fillId="2" fontId="7" numFmtId="0" xfId="0" applyAlignment="1" applyFont="1">
      <alignment readingOrder="0" shrinkToFit="0" vertical="bottom" wrapText="1"/>
    </xf>
    <xf borderId="0" fillId="3" fontId="7" numFmtId="49" xfId="0" applyAlignment="1" applyFont="1" applyNumberFormat="1">
      <alignment shrinkToFit="0" vertical="bottom" wrapText="1"/>
    </xf>
    <xf borderId="0" fillId="12" fontId="7" numFmtId="0" xfId="0" applyAlignment="1" applyFont="1">
      <alignment vertical="bottom"/>
    </xf>
    <xf borderId="0" fillId="12" fontId="76" numFmtId="0" xfId="0" applyAlignment="1" applyFont="1">
      <alignment shrinkToFit="0" vertical="bottom" wrapText="1"/>
    </xf>
    <xf borderId="0" fillId="12" fontId="7" numFmtId="0" xfId="0" applyAlignment="1" applyFont="1">
      <alignment readingOrder="0" vertical="bottom"/>
    </xf>
    <xf borderId="0" fillId="12" fontId="7" numFmtId="0" xfId="0" applyAlignment="1" applyFont="1">
      <alignment readingOrder="0" shrinkToFit="0" vertical="bottom" wrapText="1"/>
    </xf>
    <xf borderId="0" fillId="0" fontId="77" numFmtId="0" xfId="0" applyAlignment="1" applyFont="1">
      <alignment readingOrder="0" shrinkToFit="0" wrapText="1"/>
    </xf>
    <xf borderId="0" fillId="5" fontId="12" numFmtId="0" xfId="0" applyAlignment="1" applyFont="1">
      <alignment readingOrder="0" shrinkToFit="0" wrapText="1"/>
    </xf>
    <xf borderId="0" fillId="3" fontId="50" numFmtId="0" xfId="0" applyAlignment="1" applyFont="1">
      <alignment readingOrder="0" shrinkToFit="0" vertical="bottom" wrapText="1"/>
    </xf>
    <xf borderId="0" fillId="15" fontId="7" numFmtId="0" xfId="0" applyAlignment="1" applyFont="1">
      <alignment vertical="top"/>
    </xf>
    <xf borderId="0" fillId="15" fontId="7" numFmtId="0" xfId="0" applyAlignment="1" applyFont="1">
      <alignment vertical="bottom"/>
    </xf>
    <xf borderId="0" fillId="15" fontId="78" numFmtId="0" xfId="0" applyAlignment="1" applyFont="1">
      <alignment shrinkToFit="0" vertical="bottom" wrapText="1"/>
    </xf>
    <xf borderId="0" fillId="15" fontId="7" numFmtId="0" xfId="0" applyAlignment="1" applyFont="1">
      <alignment readingOrder="0" vertical="bottom"/>
    </xf>
    <xf borderId="0" fillId="15" fontId="7" numFmtId="0" xfId="0" applyAlignment="1" applyFont="1">
      <alignment readingOrder="0" shrinkToFit="0" vertical="bottom" wrapText="1"/>
    </xf>
    <xf borderId="0" fillId="15" fontId="79" numFmtId="0" xfId="0" applyAlignment="1" applyFont="1">
      <alignment readingOrder="0" shrinkToFit="0" vertical="bottom" wrapText="1"/>
    </xf>
    <xf borderId="0" fillId="9" fontId="80" numFmtId="0" xfId="0" applyAlignment="1" applyFont="1">
      <alignment shrinkToFit="0" vertical="bottom" wrapText="1"/>
    </xf>
    <xf borderId="0" fillId="2" fontId="81" numFmtId="0" xfId="0" applyAlignment="1" applyFont="1">
      <alignment shrinkToFit="0" vertical="bottom" wrapText="1"/>
    </xf>
    <xf borderId="0" fillId="17" fontId="7" numFmtId="0" xfId="0" applyAlignment="1" applyFont="1">
      <alignment vertical="top"/>
    </xf>
    <xf borderId="0" fillId="17" fontId="7" numFmtId="0" xfId="0" applyAlignment="1" applyFont="1">
      <alignment vertical="bottom"/>
    </xf>
    <xf borderId="0" fillId="17" fontId="82" numFmtId="0" xfId="0" applyAlignment="1" applyFont="1">
      <alignment shrinkToFit="0" vertical="bottom" wrapText="1"/>
    </xf>
    <xf borderId="0" fillId="17" fontId="7" numFmtId="0" xfId="0" applyAlignment="1" applyFont="1">
      <alignment readingOrder="0" vertical="bottom"/>
    </xf>
    <xf borderId="0" fillId="17" fontId="7" numFmtId="0" xfId="0" applyAlignment="1" applyFont="1">
      <alignment readingOrder="0" shrinkToFit="0" vertical="bottom" wrapText="1"/>
    </xf>
    <xf borderId="0" fillId="0" fontId="7" numFmtId="0" xfId="0" applyAlignment="1" applyFont="1">
      <alignment shrinkToFit="0" vertical="bottom" wrapText="1"/>
    </xf>
    <xf borderId="0" fillId="9" fontId="7" numFmtId="0" xfId="0" applyAlignment="1" applyFont="1">
      <alignment readingOrder="0" shrinkToFit="0" vertical="bottom" wrapText="1"/>
    </xf>
    <xf borderId="0" fillId="5" fontId="77" numFmtId="0" xfId="0" applyAlignment="1" applyFont="1">
      <alignment horizontal="left" readingOrder="0" shrinkToFit="0" wrapText="1"/>
    </xf>
    <xf borderId="0" fillId="11" fontId="12" numFmtId="0" xfId="0" applyAlignment="1" applyFont="1">
      <alignment horizontal="left" readingOrder="0" vertical="top"/>
    </xf>
    <xf borderId="0" fillId="11" fontId="7" numFmtId="0" xfId="0" applyAlignment="1" applyFont="1">
      <alignment vertical="bottom"/>
    </xf>
    <xf borderId="0" fillId="11" fontId="7" numFmtId="0" xfId="0" applyAlignment="1" applyFont="1">
      <alignment shrinkToFit="0" vertical="bottom" wrapText="1"/>
    </xf>
    <xf borderId="0" fillId="11" fontId="7" numFmtId="0" xfId="0" applyAlignment="1" applyFont="1">
      <alignment readingOrder="0" vertical="bottom"/>
    </xf>
    <xf borderId="0" fillId="11" fontId="83" numFmtId="0" xfId="0" applyAlignment="1" applyFont="1">
      <alignment readingOrder="0" shrinkToFit="0" vertical="bottom" wrapText="1"/>
    </xf>
    <xf borderId="0" fillId="11" fontId="84" numFmtId="0" xfId="0" applyAlignment="1" applyFont="1">
      <alignment shrinkToFit="0" vertical="bottom" wrapText="1"/>
    </xf>
    <xf borderId="0" fillId="11" fontId="7" numFmtId="0" xfId="0" applyAlignment="1" applyFont="1">
      <alignment readingOrder="0" shrinkToFit="0" vertical="bottom" wrapText="1"/>
    </xf>
    <xf borderId="0" fillId="11" fontId="50" numFmtId="0" xfId="0" applyAlignment="1" applyFont="1">
      <alignment vertical="bottom"/>
    </xf>
    <xf borderId="0" fillId="11" fontId="85" numFmtId="0" xfId="0" applyAlignment="1" applyFont="1">
      <alignment shrinkToFit="0" vertical="bottom" wrapText="1"/>
    </xf>
    <xf borderId="0" fillId="11" fontId="50" numFmtId="0" xfId="0" applyAlignment="1" applyFont="1">
      <alignment readingOrder="0" vertical="bottom"/>
    </xf>
    <xf borderId="0" fillId="11" fontId="50" numFmtId="0" xfId="0" applyAlignment="1" applyFont="1">
      <alignment shrinkToFit="0" vertical="bottom" wrapText="1"/>
    </xf>
    <xf borderId="0" fillId="4" fontId="7" numFmtId="0" xfId="0" applyAlignment="1" applyFont="1">
      <alignment vertical="top"/>
    </xf>
    <xf borderId="0" fillId="4" fontId="7" numFmtId="0" xfId="0" applyAlignment="1" applyFont="1">
      <alignment vertical="bottom"/>
    </xf>
    <xf borderId="0" fillId="4" fontId="7" numFmtId="0" xfId="0" applyAlignment="1" applyFont="1">
      <alignment shrinkToFit="0" vertical="bottom" wrapText="1"/>
    </xf>
    <xf borderId="0" fillId="4" fontId="7" numFmtId="0" xfId="0" applyAlignment="1" applyFont="1">
      <alignment readingOrder="0" vertical="bottom"/>
    </xf>
    <xf borderId="0" fillId="4" fontId="7" numFmtId="0" xfId="0" applyAlignment="1" applyFont="1">
      <alignment readingOrder="0" shrinkToFit="0" vertical="bottom" wrapText="1"/>
    </xf>
    <xf borderId="0" fillId="4" fontId="86" numFmtId="0" xfId="0" applyAlignment="1" applyFont="1">
      <alignment readingOrder="0" shrinkToFit="0" vertical="bottom" wrapText="1"/>
    </xf>
    <xf borderId="0" fillId="11" fontId="7" numFmtId="0" xfId="0" applyAlignment="1" applyFont="1">
      <alignment vertical="top"/>
    </xf>
    <xf borderId="0" fillId="11" fontId="87" numFmtId="0" xfId="0" applyAlignment="1" applyFont="1">
      <alignment readingOrder="0" shrinkToFit="0" vertical="bottom" wrapText="1"/>
    </xf>
    <xf borderId="0" fillId="24" fontId="7" numFmtId="0" xfId="0" applyAlignment="1" applyFill="1" applyFont="1">
      <alignment vertical="top"/>
    </xf>
    <xf borderId="0" fillId="24" fontId="7" numFmtId="0" xfId="0" applyAlignment="1" applyFont="1">
      <alignment vertical="bottom"/>
    </xf>
    <xf borderId="0" fillId="24" fontId="88" numFmtId="0" xfId="0" applyAlignment="1" applyFont="1">
      <alignment shrinkToFit="0" vertical="bottom" wrapText="1"/>
    </xf>
    <xf borderId="0" fillId="24" fontId="7" numFmtId="0" xfId="0" applyAlignment="1" applyFont="1">
      <alignment readingOrder="0" vertical="bottom"/>
    </xf>
    <xf borderId="0" fillId="24" fontId="7" numFmtId="0" xfId="0" applyAlignment="1" applyFont="1">
      <alignment readingOrder="0" shrinkToFit="0" vertical="bottom" wrapText="1"/>
    </xf>
    <xf borderId="0" fillId="24" fontId="50" numFmtId="0" xfId="0" applyAlignment="1" applyFont="1">
      <alignment vertical="bottom"/>
    </xf>
    <xf borderId="0" fillId="24" fontId="89" numFmtId="0" xfId="0" applyAlignment="1" applyFont="1">
      <alignment shrinkToFit="0" vertical="bottom" wrapText="1"/>
    </xf>
    <xf borderId="0" fillId="24" fontId="50" numFmtId="0" xfId="0" applyAlignment="1" applyFont="1">
      <alignment readingOrder="0" vertical="bottom"/>
    </xf>
    <xf borderId="0" fillId="24" fontId="50" numFmtId="0" xfId="0" applyAlignment="1" applyFont="1">
      <alignment shrinkToFit="0" vertical="bottom" wrapText="1"/>
    </xf>
    <xf borderId="0" fillId="9" fontId="12" numFmtId="0" xfId="0" applyAlignment="1" applyFont="1">
      <alignment shrinkToFit="0" vertical="bottom" wrapText="1"/>
    </xf>
    <xf borderId="0" fillId="24" fontId="7" numFmtId="0" xfId="0" applyAlignment="1" applyFont="1">
      <alignment shrinkToFit="0" vertical="bottom" wrapText="1"/>
    </xf>
    <xf borderId="0" fillId="15" fontId="90" numFmtId="0" xfId="0" applyAlignment="1" applyFont="1">
      <alignment readingOrder="0" shrinkToFit="0" vertical="bottom" wrapText="1"/>
    </xf>
    <xf borderId="0" fillId="15" fontId="50" numFmtId="0" xfId="0" applyAlignment="1" applyFont="1">
      <alignment vertical="bottom"/>
    </xf>
    <xf borderId="0" fillId="15" fontId="91" numFmtId="0" xfId="0" applyAlignment="1" applyFont="1">
      <alignment shrinkToFit="0" vertical="bottom" wrapText="1"/>
    </xf>
    <xf borderId="0" fillId="15" fontId="50" numFmtId="0" xfId="0" applyAlignment="1" applyFont="1">
      <alignment readingOrder="0" vertical="bottom"/>
    </xf>
    <xf borderId="0" fillId="15" fontId="50" numFmtId="0" xfId="0" applyAlignment="1" applyFont="1">
      <alignment shrinkToFit="0" vertical="bottom" wrapText="1"/>
    </xf>
    <xf borderId="0" fillId="17" fontId="12" numFmtId="0" xfId="0" applyAlignment="1" applyFont="1">
      <alignment readingOrder="0" shrinkToFit="0" vertical="bottom" wrapText="1"/>
    </xf>
    <xf borderId="0" fillId="17" fontId="92" numFmtId="0" xfId="0" applyAlignment="1" applyFont="1">
      <alignment readingOrder="0" shrinkToFit="0" vertical="bottom" wrapText="1"/>
    </xf>
    <xf borderId="0" fillId="17" fontId="93" numFmtId="0" xfId="0" applyAlignment="1" applyFont="1">
      <alignment readingOrder="0" shrinkToFit="0" vertical="bottom" wrapText="1"/>
    </xf>
    <xf borderId="0" fillId="17" fontId="50" numFmtId="0" xfId="0" applyAlignment="1" applyFont="1">
      <alignment vertical="bottom"/>
    </xf>
    <xf borderId="0" fillId="17" fontId="94" numFmtId="0" xfId="0" applyAlignment="1" applyFont="1">
      <alignment shrinkToFit="0" vertical="bottom" wrapText="1"/>
    </xf>
    <xf borderId="0" fillId="17" fontId="50" numFmtId="0" xfId="0" applyAlignment="1" applyFont="1">
      <alignment readingOrder="0" vertical="bottom"/>
    </xf>
    <xf borderId="0" fillId="17" fontId="50" numFmtId="0" xfId="0" applyAlignment="1" applyFont="1">
      <alignment readingOrder="0" shrinkToFit="0" vertical="bottom" wrapText="1"/>
    </xf>
    <xf borderId="0" fillId="17" fontId="7" numFmtId="0" xfId="0" applyAlignment="1" applyFont="1">
      <alignment shrinkToFit="0" vertical="bottom" wrapText="1"/>
    </xf>
    <xf borderId="0" fillId="22" fontId="7" numFmtId="0" xfId="0" applyAlignment="1" applyFont="1">
      <alignment vertical="top"/>
    </xf>
    <xf borderId="0" fillId="22" fontId="8" numFmtId="0" xfId="0" applyAlignment="1" applyFont="1">
      <alignment readingOrder="0"/>
    </xf>
    <xf borderId="0" fillId="22" fontId="50" numFmtId="0" xfId="0" applyAlignment="1" applyFont="1">
      <alignment vertical="bottom"/>
    </xf>
    <xf borderId="0" fillId="22" fontId="95" numFmtId="0" xfId="0" applyAlignment="1" applyFont="1">
      <alignment shrinkToFit="0" vertical="bottom" wrapText="1"/>
    </xf>
    <xf borderId="0" fillId="22" fontId="50" numFmtId="0" xfId="0" applyAlignment="1" applyFont="1">
      <alignment readingOrder="0" vertical="bottom"/>
    </xf>
    <xf borderId="0" fillId="22" fontId="68" numFmtId="0" xfId="0" applyAlignment="1" applyFont="1">
      <alignment shrinkToFit="0" wrapText="1"/>
    </xf>
    <xf borderId="0" fillId="22" fontId="8" numFmtId="0" xfId="0" applyAlignment="1" applyFont="1">
      <alignment readingOrder="0" shrinkToFit="0" wrapText="1"/>
    </xf>
    <xf borderId="0" fillId="22" fontId="18" numFmtId="0" xfId="0" applyAlignment="1" applyFont="1">
      <alignment readingOrder="0"/>
    </xf>
    <xf borderId="0" fillId="22" fontId="7" numFmtId="0" xfId="0" applyAlignment="1" applyFont="1">
      <alignment readingOrder="0" vertical="bottom"/>
    </xf>
    <xf borderId="0" fillId="16" fontId="7" numFmtId="0" xfId="0" applyAlignment="1" applyFont="1">
      <alignment readingOrder="0" vertical="bottom"/>
    </xf>
    <xf borderId="0" fillId="16" fontId="7" numFmtId="0" xfId="0" applyAlignment="1" applyFont="1">
      <alignment shrinkToFit="0" vertical="bottom" wrapText="1"/>
    </xf>
    <xf borderId="0" fillId="5" fontId="7" numFmtId="0" xfId="0" applyAlignment="1" applyFont="1">
      <alignment shrinkToFit="0" vertical="bottom" wrapText="1"/>
    </xf>
    <xf borderId="0" fillId="16" fontId="7" numFmtId="0" xfId="0" applyAlignment="1" applyFont="1">
      <alignment vertical="bottom"/>
    </xf>
    <xf borderId="0" fillId="16" fontId="96" numFmtId="0" xfId="0" applyAlignment="1" applyFont="1">
      <alignment readingOrder="0" shrinkToFit="0" vertical="bottom" wrapText="1"/>
    </xf>
    <xf borderId="0" fillId="16" fontId="7" numFmtId="0" xfId="0" applyAlignment="1" applyFont="1">
      <alignment readingOrder="0" shrinkToFit="0" vertical="bottom" wrapText="1"/>
    </xf>
    <xf borderId="0" fillId="16" fontId="97" numFmtId="0" xfId="0" applyAlignment="1" applyFont="1">
      <alignment readingOrder="0" shrinkToFit="0" vertical="bottom" wrapText="1"/>
    </xf>
    <xf borderId="0" fillId="6" fontId="98" numFmtId="0" xfId="0" applyAlignment="1" applyFont="1">
      <alignment readingOrder="0" shrinkToFit="0" wrapText="1"/>
    </xf>
    <xf borderId="0" fillId="6" fontId="7" numFmtId="0" xfId="0" applyAlignment="1" applyFont="1">
      <alignment vertical="bottom"/>
    </xf>
    <xf borderId="0" fillId="6" fontId="99" numFmtId="0" xfId="0" applyAlignment="1" applyFont="1">
      <alignment readingOrder="0"/>
    </xf>
    <xf borderId="0" fillId="6" fontId="100" numFmtId="0" xfId="0" applyAlignment="1" applyFont="1">
      <alignment readingOrder="0" shrinkToFit="0" wrapText="1"/>
    </xf>
    <xf borderId="0" fillId="6" fontId="7" numFmtId="0" xfId="0" applyAlignment="1" applyFont="1">
      <alignment shrinkToFit="0" vertical="bottom" wrapText="1"/>
    </xf>
    <xf borderId="0" fillId="6" fontId="101" numFmtId="0" xfId="0" applyAlignment="1" applyFont="1">
      <alignment readingOrder="0" shrinkToFit="0" vertical="bottom" wrapText="1"/>
    </xf>
    <xf borderId="0" fillId="6" fontId="7" numFmtId="0" xfId="0" applyAlignment="1" applyFont="1">
      <alignment readingOrder="0" vertical="bottom"/>
    </xf>
    <xf borderId="0" fillId="25" fontId="7" numFmtId="0" xfId="0" applyAlignment="1" applyFill="1" applyFont="1">
      <alignment vertical="top"/>
    </xf>
    <xf borderId="0" fillId="25" fontId="0" numFmtId="0" xfId="0" applyAlignment="1" applyFont="1">
      <alignment readingOrder="0"/>
    </xf>
    <xf borderId="0" fillId="25" fontId="102" numFmtId="0" xfId="0" applyAlignment="1" applyFont="1">
      <alignment readingOrder="0" shrinkToFit="0" wrapText="1"/>
    </xf>
    <xf borderId="0" fillId="25" fontId="7" numFmtId="0" xfId="0" applyAlignment="1" applyFont="1">
      <alignment readingOrder="0" vertical="bottom"/>
    </xf>
    <xf borderId="0" fillId="25" fontId="7" numFmtId="0" xfId="0" applyAlignment="1" applyFont="1">
      <alignment readingOrder="0" shrinkToFit="0" vertical="bottom" wrapText="1"/>
    </xf>
    <xf borderId="1" fillId="0" fontId="8" numFmtId="0" xfId="0" applyAlignment="1" applyBorder="1" applyFont="1">
      <alignment horizontal="left" shrinkToFit="0" wrapText="1"/>
    </xf>
    <xf borderId="0" fillId="25" fontId="7" numFmtId="0" xfId="0" applyAlignment="1" applyFont="1">
      <alignment vertical="bottom"/>
    </xf>
    <xf borderId="0" fillId="25" fontId="12" numFmtId="0" xfId="0" applyAlignment="1" applyFont="1">
      <alignment readingOrder="0" vertical="bottom"/>
    </xf>
    <xf borderId="0" fillId="25" fontId="12" numFmtId="0" xfId="0" applyAlignment="1" applyFont="1">
      <alignment readingOrder="0" shrinkToFit="0" vertical="bottom" wrapText="1"/>
    </xf>
    <xf borderId="0" fillId="25" fontId="12" numFmtId="0" xfId="0" applyAlignment="1" applyFont="1">
      <alignment vertical="bottom"/>
    </xf>
    <xf borderId="0" fillId="25" fontId="12" numFmtId="0" xfId="0" applyAlignment="1" applyFont="1">
      <alignment shrinkToFit="0" vertical="bottom" wrapText="1"/>
    </xf>
    <xf borderId="2" fillId="25" fontId="103" numFmtId="0" xfId="0" applyAlignment="1" applyBorder="1" applyFont="1">
      <alignment readingOrder="0" shrinkToFit="0" wrapText="1"/>
    </xf>
    <xf borderId="0" fillId="25" fontId="104" numFmtId="0" xfId="0" applyAlignment="1" applyFont="1">
      <alignment readingOrder="0"/>
    </xf>
    <xf borderId="0" fillId="25" fontId="105" numFmtId="0" xfId="0" applyAlignment="1" applyFont="1">
      <alignment readingOrder="0" shrinkToFit="0" wrapText="1"/>
    </xf>
    <xf borderId="0" fillId="25" fontId="21" numFmtId="0" xfId="0" applyAlignment="1" applyFont="1">
      <alignment readingOrder="0"/>
    </xf>
    <xf borderId="0" fillId="25" fontId="21" numFmtId="0" xfId="0" applyAlignment="1" applyFont="1">
      <alignment readingOrder="0" shrinkToFit="0" wrapText="1"/>
    </xf>
    <xf borderId="0" fillId="7" fontId="7" numFmtId="0" xfId="0" applyAlignment="1" applyFont="1">
      <alignment readingOrder="0" vertical="bottom"/>
    </xf>
    <xf borderId="0" fillId="7" fontId="7" numFmtId="0" xfId="0" applyAlignment="1" applyFont="1">
      <alignment readingOrder="0" shrinkToFit="0" vertical="bottom" wrapText="1"/>
    </xf>
    <xf borderId="0" fillId="7" fontId="7" numFmtId="0" xfId="0" applyAlignment="1" applyFont="1">
      <alignment vertical="bottom"/>
    </xf>
    <xf borderId="0" fillId="7" fontId="106" numFmtId="0" xfId="0" applyAlignment="1" applyFont="1">
      <alignment readingOrder="0" shrinkToFit="0" vertical="bottom" wrapText="1"/>
    </xf>
    <xf borderId="0" fillId="7" fontId="12" numFmtId="0" xfId="0" applyAlignment="1" applyFont="1">
      <alignment readingOrder="0" shrinkToFit="0" vertical="bottom" wrapText="1"/>
    </xf>
    <xf borderId="0" fillId="16" fontId="1" numFmtId="0" xfId="0" applyAlignment="1" applyFont="1">
      <alignment vertical="bottom"/>
    </xf>
    <xf borderId="0" fillId="16" fontId="1" numFmtId="0" xfId="0" applyAlignment="1" applyFont="1">
      <alignment shrinkToFit="0" vertical="bottom" wrapText="1"/>
    </xf>
    <xf borderId="0" fillId="25" fontId="1" numFmtId="0" xfId="0" applyAlignment="1" applyFont="1">
      <alignment vertical="bottom"/>
    </xf>
    <xf borderId="0" fillId="25" fontId="1" numFmtId="0" xfId="0" applyAlignment="1" applyFont="1">
      <alignment shrinkToFit="0" vertical="bottom" wrapText="1"/>
    </xf>
    <xf borderId="0" fillId="26" fontId="7" numFmtId="0" xfId="0" applyAlignment="1" applyFill="1" applyFont="1">
      <alignment readingOrder="0" vertical="top"/>
    </xf>
    <xf borderId="0" fillId="26" fontId="7" numFmtId="0" xfId="0" applyAlignment="1" applyFont="1">
      <alignment readingOrder="0" vertical="bottom"/>
    </xf>
    <xf borderId="0" fillId="26" fontId="107" numFmtId="0" xfId="0" applyAlignment="1" applyFont="1">
      <alignment readingOrder="0" shrinkToFit="0" wrapText="1"/>
    </xf>
    <xf borderId="0" fillId="26" fontId="7" numFmtId="0" xfId="0" applyAlignment="1" applyFont="1">
      <alignment vertical="bottom"/>
    </xf>
    <xf borderId="0" fillId="26" fontId="7" numFmtId="0" xfId="0" applyAlignment="1" applyFont="1">
      <alignment shrinkToFit="0" vertical="bottom" wrapText="1"/>
    </xf>
    <xf borderId="3" fillId="0" fontId="8" numFmtId="0" xfId="0" applyAlignment="1" applyBorder="1" applyFont="1">
      <alignment shrinkToFit="0" wrapText="1"/>
    </xf>
    <xf borderId="3" fillId="26" fontId="7" numFmtId="0" xfId="0" applyAlignment="1" applyBorder="1" applyFont="1">
      <alignment shrinkToFit="0" vertical="bottom" wrapText="1"/>
    </xf>
    <xf borderId="0" fillId="27" fontId="7" numFmtId="0" xfId="0" applyAlignment="1" applyFill="1" applyFont="1">
      <alignment readingOrder="0" vertical="top"/>
    </xf>
    <xf borderId="0" fillId="27" fontId="7" numFmtId="0" xfId="0" applyAlignment="1" applyFont="1">
      <alignment readingOrder="0" vertical="bottom"/>
    </xf>
    <xf borderId="0" fillId="27" fontId="108" numFmtId="0" xfId="0" applyAlignment="1" applyFont="1">
      <alignment readingOrder="0" shrinkToFit="0" wrapText="1"/>
    </xf>
    <xf borderId="0" fillId="27" fontId="7" numFmtId="0" xfId="0" applyAlignment="1" applyFont="1">
      <alignment vertical="bottom"/>
    </xf>
    <xf borderId="0" fillId="27" fontId="7" numFmtId="0" xfId="0" applyAlignment="1" applyFont="1">
      <alignment shrinkToFit="0" vertical="bottom" wrapText="1"/>
    </xf>
    <xf borderId="0" fillId="28" fontId="7" numFmtId="0" xfId="0" applyAlignment="1" applyFill="1" applyFont="1">
      <alignment vertical="top"/>
    </xf>
    <xf borderId="0" fillId="28" fontId="7" numFmtId="0" xfId="0" applyAlignment="1" applyFont="1">
      <alignment readingOrder="0" vertical="bottom"/>
    </xf>
    <xf borderId="0" fillId="28" fontId="109" numFmtId="0" xfId="0" applyAlignment="1" applyFont="1">
      <alignment readingOrder="0" shrinkToFit="0" wrapText="1"/>
    </xf>
    <xf borderId="0" fillId="28" fontId="7" numFmtId="0" xfId="0" applyAlignment="1" applyFont="1">
      <alignment vertical="bottom"/>
    </xf>
    <xf borderId="0" fillId="28" fontId="7" numFmtId="0" xfId="0" applyAlignment="1" applyFont="1">
      <alignment shrinkToFit="0" vertical="bottom" wrapText="1"/>
    </xf>
    <xf borderId="0" fillId="28" fontId="110" numFmtId="0" xfId="0" applyAlignment="1" applyFont="1">
      <alignment readingOrder="0" shrinkToFit="0" vertical="bottom" wrapText="1"/>
    </xf>
    <xf borderId="0" fillId="14" fontId="18" numFmtId="0" xfId="0" applyAlignment="1" applyFont="1">
      <alignment readingOrder="0" shrinkToFit="0" wrapText="1"/>
    </xf>
    <xf borderId="0" fillId="14" fontId="111" numFmtId="0" xfId="0" applyAlignment="1" applyFont="1">
      <alignment readingOrder="0" shrinkToFit="0" wrapText="1"/>
    </xf>
    <xf borderId="0" fillId="0" fontId="25" numFmtId="0" xfId="0" applyAlignment="1" applyFont="1">
      <alignment readingOrder="0" shrinkToFit="0" vertical="top" wrapText="1"/>
    </xf>
    <xf borderId="0" fillId="0" fontId="25" numFmtId="0" xfId="0" applyAlignment="1" applyFont="1">
      <alignment vertical="bottom"/>
    </xf>
    <xf borderId="0" fillId="0" fontId="25" numFmtId="0" xfId="0" applyAlignment="1" applyFont="1">
      <alignment shrinkToFit="0" vertical="bottom" wrapText="0"/>
    </xf>
    <xf borderId="0" fillId="20" fontId="3" numFmtId="0" xfId="0" applyAlignment="1" applyFont="1">
      <alignment horizontal="center" readingOrder="0"/>
    </xf>
    <xf borderId="0" fillId="0" fontId="3" numFmtId="0" xfId="0" applyAlignment="1" applyFont="1">
      <alignment horizontal="center" readingOrder="0"/>
    </xf>
    <xf borderId="0" fillId="20" fontId="112" numFmtId="0" xfId="0" applyAlignment="1" applyFont="1">
      <alignment horizontal="center" readingOrder="0"/>
    </xf>
    <xf borderId="0" fillId="0" fontId="113" numFmtId="165" xfId="0" applyAlignment="1" applyFont="1" applyNumberFormat="1">
      <alignment readingOrder="0"/>
    </xf>
    <xf borderId="0" fillId="0" fontId="112" numFmtId="0" xfId="0" applyAlignment="1" applyFont="1">
      <alignment readingOrder="0"/>
    </xf>
    <xf borderId="0" fillId="0" fontId="112" numFmtId="0" xfId="0" applyAlignment="1" applyFont="1">
      <alignment readingOrder="0" shrinkToFit="0" wrapText="1"/>
    </xf>
    <xf borderId="0" fillId="0" fontId="3" numFmtId="0" xfId="0" applyAlignment="1" applyFont="1">
      <alignment readingOrder="0"/>
    </xf>
    <xf borderId="0" fillId="20" fontId="3" numFmtId="0" xfId="0" applyAlignment="1" applyFont="1">
      <alignment readingOrder="0"/>
    </xf>
    <xf borderId="0" fillId="20" fontId="112" numFmtId="0" xfId="0" applyAlignment="1" applyFont="1">
      <alignment readingOrder="0"/>
    </xf>
    <xf borderId="0" fillId="4" fontId="7" numFmtId="0" xfId="0" applyAlignment="1" applyFont="1">
      <alignment shrinkToFit="0" vertical="center" wrapText="1"/>
    </xf>
    <xf borderId="0" fillId="4" fontId="7" numFmtId="0" xfId="0" applyAlignment="1" applyFont="1">
      <alignment shrinkToFit="0" vertical="bottom" wrapText="0"/>
    </xf>
    <xf borderId="0" fillId="4" fontId="7" numFmtId="0" xfId="0" applyAlignment="1" applyFont="1">
      <alignment vertical="bottom"/>
    </xf>
    <xf borderId="0" fillId="4" fontId="12" numFmtId="165" xfId="0" applyAlignment="1" applyFont="1" applyNumberFormat="1">
      <alignment horizontal="right" vertical="bottom"/>
    </xf>
    <xf borderId="0" fillId="4" fontId="12" numFmtId="166" xfId="0" applyAlignment="1" applyFont="1" applyNumberFormat="1">
      <alignment horizontal="right" vertical="bottom"/>
    </xf>
    <xf borderId="0" fillId="4" fontId="12" numFmtId="0" xfId="0" applyAlignment="1" applyFont="1">
      <alignment horizontal="right" vertical="bottom"/>
    </xf>
    <xf borderId="0" fillId="4" fontId="114" numFmtId="0" xfId="0" applyAlignment="1" applyFont="1">
      <alignment vertical="bottom"/>
    </xf>
    <xf borderId="0" fillId="11" fontId="7" numFmtId="0" xfId="0" applyAlignment="1" applyFont="1">
      <alignment readingOrder="0" shrinkToFit="0" vertical="center" wrapText="1"/>
    </xf>
    <xf borderId="0" fillId="11" fontId="7" numFmtId="0" xfId="0" applyAlignment="1" applyFont="1">
      <alignment vertical="bottom"/>
    </xf>
    <xf borderId="0" fillId="11" fontId="7" numFmtId="0" xfId="0" applyAlignment="1" applyFont="1">
      <alignment shrinkToFit="0" vertical="bottom" wrapText="0"/>
    </xf>
    <xf borderId="0" fillId="11" fontId="8" numFmtId="0" xfId="0" applyFont="1"/>
    <xf borderId="0" fillId="11" fontId="8" numFmtId="0" xfId="0" applyAlignment="1" applyFont="1">
      <alignment readingOrder="0"/>
    </xf>
    <xf borderId="0" fillId="11" fontId="115" numFmtId="0" xfId="0" applyFont="1"/>
    <xf borderId="0" fillId="11" fontId="115" numFmtId="0" xfId="0" applyAlignment="1" applyFont="1">
      <alignment readingOrder="0"/>
    </xf>
    <xf borderId="0" fillId="11" fontId="0" numFmtId="165" xfId="0" applyAlignment="1" applyFont="1" applyNumberFormat="1">
      <alignment readingOrder="0"/>
    </xf>
    <xf borderId="0" fillId="11" fontId="115" numFmtId="166" xfId="0" applyAlignment="1" applyFont="1" applyNumberFormat="1">
      <alignment readingOrder="0"/>
    </xf>
    <xf borderId="0" fillId="11" fontId="116" numFmtId="0" xfId="0" applyAlignment="1" applyFont="1">
      <alignment readingOrder="0"/>
    </xf>
    <xf borderId="0" fillId="4" fontId="7" numFmtId="0" xfId="0" applyAlignment="1" applyFont="1">
      <alignment readingOrder="0" shrinkToFit="0" vertical="center" wrapText="1"/>
    </xf>
    <xf borderId="0" fillId="4" fontId="7" numFmtId="0" xfId="0" applyAlignment="1" applyFont="1">
      <alignment readingOrder="0" shrinkToFit="0" vertical="bottom" wrapText="0"/>
    </xf>
    <xf borderId="0" fillId="4" fontId="8" numFmtId="0" xfId="0" applyFont="1"/>
    <xf borderId="0" fillId="4" fontId="8" numFmtId="0" xfId="0" applyAlignment="1" applyFont="1">
      <alignment readingOrder="0"/>
    </xf>
    <xf borderId="0" fillId="4" fontId="115" numFmtId="0" xfId="0" applyFont="1"/>
    <xf borderId="0" fillId="4" fontId="115" numFmtId="0" xfId="0" applyAlignment="1" applyFont="1">
      <alignment readingOrder="0"/>
    </xf>
    <xf borderId="0" fillId="4" fontId="0" numFmtId="165" xfId="0" applyAlignment="1" applyFont="1" applyNumberFormat="1">
      <alignment readingOrder="0"/>
    </xf>
    <xf borderId="0" fillId="4" fontId="115" numFmtId="166" xfId="0" applyAlignment="1" applyFont="1" applyNumberFormat="1">
      <alignment readingOrder="0"/>
    </xf>
    <xf borderId="0" fillId="4" fontId="117" numFmtId="0" xfId="0" applyAlignment="1" applyFont="1">
      <alignment readingOrder="0"/>
    </xf>
    <xf borderId="0" fillId="2" fontId="7" numFmtId="0" xfId="0" applyAlignment="1" applyFont="1">
      <alignment readingOrder="0" shrinkToFit="0" vertical="center" wrapText="1"/>
    </xf>
    <xf borderId="0" fillId="2" fontId="7" numFmtId="0" xfId="0" applyAlignment="1" applyFont="1">
      <alignment readingOrder="0" shrinkToFit="0" vertical="bottom" wrapText="0"/>
    </xf>
    <xf borderId="0" fillId="2" fontId="8" numFmtId="0" xfId="0" applyAlignment="1" applyFont="1">
      <alignment readingOrder="0"/>
    </xf>
    <xf borderId="0" fillId="2" fontId="8" numFmtId="0" xfId="0" applyFont="1"/>
    <xf borderId="0" fillId="2" fontId="115" numFmtId="0" xfId="0" applyFont="1"/>
    <xf borderId="0" fillId="2" fontId="115" numFmtId="0" xfId="0" applyAlignment="1" applyFont="1">
      <alignment readingOrder="0"/>
    </xf>
    <xf borderId="0" fillId="2" fontId="0" numFmtId="165" xfId="0" applyAlignment="1" applyFont="1" applyNumberFormat="1">
      <alignment readingOrder="0"/>
    </xf>
    <xf borderId="0" fillId="2" fontId="115" numFmtId="166" xfId="0" applyAlignment="1" applyFont="1" applyNumberFormat="1">
      <alignment readingOrder="0"/>
    </xf>
    <xf borderId="0" fillId="2" fontId="118" numFmtId="0" xfId="0" applyAlignment="1" applyFont="1">
      <alignment readingOrder="0"/>
    </xf>
    <xf borderId="0" fillId="2" fontId="8" numFmtId="0" xfId="0" applyAlignment="1" applyFont="1">
      <alignment readingOrder="0" shrinkToFit="0" wrapText="0"/>
    </xf>
    <xf borderId="0" fillId="23" fontId="7" numFmtId="0" xfId="0" applyAlignment="1" applyFont="1">
      <alignment readingOrder="0" shrinkToFit="0" vertical="top" wrapText="1"/>
    </xf>
    <xf borderId="0" fillId="23" fontId="7" numFmtId="0" xfId="0" applyAlignment="1" applyFont="1">
      <alignment shrinkToFit="0" vertical="bottom" wrapText="0"/>
    </xf>
    <xf borderId="0" fillId="23" fontId="8" numFmtId="0" xfId="0" applyFont="1"/>
    <xf borderId="0" fillId="23" fontId="8" numFmtId="0" xfId="0" applyAlignment="1" applyFont="1">
      <alignment readingOrder="0"/>
    </xf>
    <xf borderId="0" fillId="23" fontId="115" numFmtId="0" xfId="0" applyFont="1"/>
    <xf borderId="0" fillId="23" fontId="115" numFmtId="0" xfId="0" applyAlignment="1" applyFont="1">
      <alignment readingOrder="0"/>
    </xf>
    <xf borderId="0" fillId="23" fontId="0" numFmtId="165" xfId="0" applyAlignment="1" applyFont="1" applyNumberFormat="1">
      <alignment readingOrder="0"/>
    </xf>
    <xf borderId="0" fillId="23" fontId="115" numFmtId="166" xfId="0" applyAlignment="1" applyFont="1" applyNumberFormat="1">
      <alignment readingOrder="0"/>
    </xf>
    <xf borderId="0" fillId="23" fontId="119" numFmtId="0" xfId="0" applyAlignment="1" applyFont="1">
      <alignment readingOrder="0"/>
    </xf>
    <xf borderId="0" fillId="22" fontId="7" numFmtId="0" xfId="0" applyAlignment="1" applyFont="1">
      <alignment readingOrder="0" shrinkToFit="0" vertical="top" wrapText="1"/>
    </xf>
    <xf borderId="0" fillId="22" fontId="7" numFmtId="0" xfId="0" applyAlignment="1" applyFont="1">
      <alignment shrinkToFit="0" vertical="bottom" wrapText="0"/>
    </xf>
    <xf borderId="0" fillId="22" fontId="8" numFmtId="0" xfId="0" applyFont="1"/>
    <xf borderId="0" fillId="22" fontId="115" numFmtId="0" xfId="0" applyFont="1"/>
    <xf borderId="0" fillId="22" fontId="0" numFmtId="165" xfId="0" applyAlignment="1" applyFont="1" applyNumberFormat="1">
      <alignment readingOrder="0"/>
    </xf>
    <xf borderId="0" fillId="22" fontId="115" numFmtId="166" xfId="0" applyAlignment="1" applyFont="1" applyNumberFormat="1">
      <alignment readingOrder="0"/>
    </xf>
    <xf borderId="0" fillId="22" fontId="120" numFmtId="0" xfId="0" applyAlignment="1" applyFont="1">
      <alignment readingOrder="0"/>
    </xf>
    <xf borderId="0" fillId="22" fontId="115" numFmtId="0" xfId="0" applyAlignment="1" applyFont="1">
      <alignment readingOrder="0"/>
    </xf>
    <xf borderId="0" fillId="22" fontId="3" numFmtId="0" xfId="0" applyAlignment="1" applyFont="1">
      <alignment readingOrder="0"/>
    </xf>
    <xf borderId="0" fillId="12" fontId="7" numFmtId="0" xfId="0" applyAlignment="1" applyFont="1">
      <alignment readingOrder="0" shrinkToFit="0" vertical="top" wrapText="1"/>
    </xf>
    <xf borderId="0" fillId="12" fontId="7" numFmtId="0" xfId="0" applyAlignment="1" applyFont="1">
      <alignment shrinkToFit="0" vertical="bottom" wrapText="0"/>
    </xf>
    <xf borderId="0" fillId="12" fontId="8" numFmtId="0" xfId="0" applyFont="1"/>
    <xf borderId="0" fillId="12" fontId="8" numFmtId="0" xfId="0" applyAlignment="1" applyFont="1">
      <alignment readingOrder="0"/>
    </xf>
    <xf borderId="0" fillId="12" fontId="115" numFmtId="0" xfId="0" applyFont="1"/>
    <xf borderId="0" fillId="12" fontId="0" numFmtId="165" xfId="0" applyAlignment="1" applyFont="1" applyNumberFormat="1">
      <alignment readingOrder="0"/>
    </xf>
    <xf borderId="0" fillId="12" fontId="115" numFmtId="166" xfId="0" applyAlignment="1" applyFont="1" applyNumberFormat="1">
      <alignment readingOrder="0"/>
    </xf>
    <xf borderId="0" fillId="12" fontId="121" numFmtId="0" xfId="0" applyAlignment="1" applyFont="1">
      <alignment readingOrder="0"/>
    </xf>
    <xf borderId="0" fillId="12" fontId="3" numFmtId="0" xfId="0" applyAlignment="1" applyFont="1">
      <alignment readingOrder="0"/>
    </xf>
    <xf borderId="0" fillId="12" fontId="115" numFmtId="0" xfId="0" applyAlignment="1" applyFont="1">
      <alignment readingOrder="0"/>
    </xf>
    <xf borderId="0" fillId="12" fontId="3" numFmtId="0" xfId="0" applyAlignment="1" applyFont="1">
      <alignment horizontal="center" readingOrder="0"/>
    </xf>
    <xf borderId="0" fillId="2" fontId="7" numFmtId="0" xfId="0" applyAlignment="1" applyFont="1">
      <alignment readingOrder="0" shrinkToFit="0" vertical="top" wrapText="1"/>
    </xf>
    <xf borderId="0" fillId="2" fontId="7" numFmtId="0" xfId="0" applyAlignment="1" applyFont="1">
      <alignment shrinkToFit="0" vertical="bottom" wrapText="0"/>
    </xf>
    <xf borderId="0" fillId="2" fontId="115" numFmtId="167" xfId="0" applyAlignment="1" applyFont="1" applyNumberFormat="1">
      <alignment readingOrder="0"/>
    </xf>
    <xf borderId="0" fillId="2" fontId="3" numFmtId="0" xfId="0" applyAlignment="1" applyFont="1">
      <alignment readingOrder="0"/>
    </xf>
    <xf borderId="0" fillId="17" fontId="7" numFmtId="0" xfId="0" applyAlignment="1" applyFont="1">
      <alignment readingOrder="0" shrinkToFit="0" vertical="top" wrapText="1"/>
    </xf>
    <xf borderId="0" fillId="17" fontId="7" numFmtId="0" xfId="0" applyAlignment="1" applyFont="1">
      <alignment shrinkToFit="0" vertical="bottom" wrapText="0"/>
    </xf>
    <xf borderId="0" fillId="17" fontId="8" numFmtId="0" xfId="0" applyAlignment="1" applyFont="1">
      <alignment readingOrder="0"/>
    </xf>
    <xf borderId="0" fillId="17" fontId="115" numFmtId="0" xfId="0" applyFont="1"/>
    <xf borderId="0" fillId="17" fontId="0" numFmtId="165" xfId="0" applyAlignment="1" applyFont="1" applyNumberFormat="1">
      <alignment readingOrder="0"/>
    </xf>
    <xf borderId="0" fillId="17" fontId="115" numFmtId="166" xfId="0" applyAlignment="1" applyFont="1" applyNumberFormat="1">
      <alignment readingOrder="0"/>
    </xf>
    <xf borderId="0" fillId="17" fontId="122" numFmtId="0" xfId="0" applyAlignment="1" applyFont="1">
      <alignment readingOrder="0"/>
    </xf>
    <xf borderId="0" fillId="17" fontId="112" numFmtId="0" xfId="0" applyAlignment="1" applyFont="1">
      <alignment readingOrder="0"/>
    </xf>
    <xf borderId="0" fillId="17" fontId="115" numFmtId="0" xfId="0" applyAlignment="1" applyFont="1">
      <alignment readingOrder="0"/>
    </xf>
    <xf borderId="0" fillId="15" fontId="7" numFmtId="0" xfId="0" applyAlignment="1" applyFont="1">
      <alignment readingOrder="0" shrinkToFit="0" vertical="top" wrapText="1"/>
    </xf>
    <xf borderId="0" fillId="15" fontId="7" numFmtId="0" xfId="0" applyAlignment="1" applyFont="1">
      <alignment shrinkToFit="0" vertical="bottom" wrapText="0"/>
    </xf>
    <xf borderId="0" fillId="15" fontId="8" numFmtId="0" xfId="0" applyFont="1"/>
    <xf borderId="0" fillId="15" fontId="8" numFmtId="0" xfId="0" applyAlignment="1" applyFont="1">
      <alignment readingOrder="0"/>
    </xf>
    <xf borderId="0" fillId="15" fontId="115" numFmtId="0" xfId="0" applyAlignment="1" applyFont="1">
      <alignment readingOrder="0"/>
    </xf>
    <xf borderId="0" fillId="15" fontId="115" numFmtId="0" xfId="0" applyFont="1"/>
    <xf borderId="0" fillId="15" fontId="0" numFmtId="165" xfId="0" applyAlignment="1" applyFont="1" applyNumberFormat="1">
      <alignment readingOrder="0"/>
    </xf>
    <xf borderId="0" fillId="15" fontId="115" numFmtId="166" xfId="0" applyAlignment="1" applyFont="1" applyNumberFormat="1">
      <alignment readingOrder="0"/>
    </xf>
    <xf borderId="0" fillId="15" fontId="123" numFmtId="0" xfId="0" applyAlignment="1" applyFont="1">
      <alignment readingOrder="0"/>
    </xf>
    <xf borderId="0" fillId="15" fontId="1" numFmtId="165" xfId="0" applyAlignment="1" applyFont="1" applyNumberFormat="1">
      <alignment readingOrder="0"/>
    </xf>
    <xf borderId="0" fillId="17" fontId="7" numFmtId="0" xfId="0" applyAlignment="1" applyFont="1">
      <alignment readingOrder="0" shrinkToFit="0" vertical="bottom" wrapText="0"/>
    </xf>
    <xf borderId="0" fillId="23" fontId="0" numFmtId="165" xfId="0" applyFont="1" applyNumberFormat="1"/>
    <xf borderId="0" fillId="15" fontId="0" numFmtId="165" xfId="0" applyFont="1" applyNumberFormat="1"/>
    <xf borderId="0" fillId="15" fontId="8" numFmtId="0" xfId="0" applyAlignment="1" applyFont="1">
      <alignment readingOrder="0"/>
    </xf>
    <xf borderId="0" fillId="11" fontId="7" numFmtId="0" xfId="0" applyAlignment="1" applyFont="1">
      <alignment readingOrder="0" shrinkToFit="0" vertical="top" wrapText="1"/>
    </xf>
    <xf borderId="0" fillId="11" fontId="7" numFmtId="0" xfId="0" applyAlignment="1" applyFont="1">
      <alignment shrinkToFit="0" vertical="bottom" wrapText="0"/>
    </xf>
    <xf borderId="0" fillId="11" fontId="1" numFmtId="165" xfId="0" applyAlignment="1" applyFont="1" applyNumberFormat="1">
      <alignment readingOrder="0"/>
    </xf>
    <xf borderId="0" fillId="11" fontId="8" numFmtId="167" xfId="0" applyAlignment="1" applyFont="1" applyNumberFormat="1">
      <alignment readingOrder="0"/>
    </xf>
    <xf borderId="0" fillId="11" fontId="115" numFmtId="167" xfId="0" applyAlignment="1" applyFont="1" applyNumberFormat="1">
      <alignment readingOrder="0"/>
    </xf>
    <xf borderId="0" fillId="11" fontId="0" numFmtId="165" xfId="0" applyFont="1" applyNumberFormat="1"/>
    <xf borderId="0" fillId="11" fontId="8" numFmtId="0" xfId="0" applyAlignment="1" applyFont="1">
      <alignment readingOrder="0"/>
    </xf>
    <xf borderId="0" fillId="4" fontId="7" numFmtId="0" xfId="0" applyAlignment="1" applyFont="1">
      <alignment readingOrder="0" shrinkToFit="0" vertical="top" wrapText="1"/>
    </xf>
    <xf borderId="0" fillId="4" fontId="124" numFmtId="0" xfId="0" applyAlignment="1" applyFont="1">
      <alignment readingOrder="0"/>
    </xf>
    <xf borderId="0" fillId="15" fontId="115" numFmtId="167" xfId="0" applyAlignment="1" applyFont="1" applyNumberFormat="1">
      <alignment readingOrder="0"/>
    </xf>
    <xf borderId="0" fillId="24" fontId="7" numFmtId="0" xfId="0" applyAlignment="1" applyFont="1">
      <alignment readingOrder="0" shrinkToFit="0" vertical="top" wrapText="1"/>
    </xf>
    <xf borderId="0" fillId="24" fontId="7" numFmtId="0" xfId="0" applyAlignment="1" applyFont="1">
      <alignment shrinkToFit="0" vertical="bottom" wrapText="0"/>
    </xf>
    <xf borderId="0" fillId="24" fontId="8" numFmtId="0" xfId="0" applyFont="1"/>
    <xf borderId="0" fillId="24" fontId="8" numFmtId="0" xfId="0" applyAlignment="1" applyFont="1">
      <alignment readingOrder="0"/>
    </xf>
    <xf borderId="0" fillId="24" fontId="115" numFmtId="0" xfId="0" applyFont="1"/>
    <xf borderId="0" fillId="24" fontId="0" numFmtId="165" xfId="0" applyAlignment="1" applyFont="1" applyNumberFormat="1">
      <alignment readingOrder="0"/>
    </xf>
    <xf borderId="0" fillId="24" fontId="115" numFmtId="166" xfId="0" applyAlignment="1" applyFont="1" applyNumberFormat="1">
      <alignment readingOrder="0"/>
    </xf>
    <xf borderId="0" fillId="24" fontId="125" numFmtId="0" xfId="0" applyAlignment="1" applyFont="1">
      <alignment readingOrder="0"/>
    </xf>
    <xf borderId="0" fillId="22" fontId="115" numFmtId="167" xfId="0" applyAlignment="1" applyFont="1" applyNumberFormat="1">
      <alignment readingOrder="0"/>
    </xf>
    <xf borderId="0" fillId="22" fontId="0" numFmtId="165" xfId="0" applyFont="1" applyNumberFormat="1"/>
    <xf borderId="0" fillId="17" fontId="115" numFmtId="167" xfId="0" applyAlignment="1" applyFont="1" applyNumberFormat="1">
      <alignment readingOrder="0"/>
    </xf>
    <xf borderId="0" fillId="17" fontId="0" numFmtId="165" xfId="0" applyFont="1" applyNumberFormat="1"/>
    <xf borderId="0" fillId="17" fontId="1" numFmtId="165" xfId="0" applyAlignment="1" applyFont="1" applyNumberFormat="1">
      <alignment readingOrder="0"/>
    </xf>
    <xf borderId="0" fillId="17" fontId="8" numFmtId="0" xfId="0" applyAlignment="1" applyFont="1">
      <alignment readingOrder="0" shrinkToFit="0" wrapText="0"/>
    </xf>
    <xf borderId="0" fillId="17" fontId="0" numFmtId="0" xfId="0" applyAlignment="1" applyFont="1">
      <alignment readingOrder="0" shrinkToFit="0" vertical="bottom" wrapText="0"/>
    </xf>
    <xf borderId="0" fillId="0" fontId="115" numFmtId="0" xfId="0" applyFont="1"/>
    <xf borderId="0" fillId="20" fontId="115" numFmtId="0" xfId="0" applyFont="1"/>
    <xf borderId="0" fillId="0" fontId="0" numFmtId="165" xfId="0" applyFont="1" applyNumberFormat="1"/>
    <xf borderId="0" fillId="0" fontId="8" numFmtId="0" xfId="0" applyAlignment="1" applyFont="1">
      <alignment shrinkToFit="0" wrapText="0"/>
    </xf>
    <xf borderId="0" fillId="0" fontId="8" numFmtId="0" xfId="0" applyAlignment="1" applyFont="1">
      <alignment readingOrder="0" shrinkToFit="0" wrapText="0"/>
    </xf>
    <xf borderId="0" fillId="4" fontId="7" numFmtId="0" xfId="0" applyAlignment="1" applyFont="1">
      <alignment readingOrder="0" shrinkToFit="0" vertical="top" wrapText="1"/>
    </xf>
    <xf borderId="0" fillId="4" fontId="7" numFmtId="0" xfId="0" applyAlignment="1" applyFont="1">
      <alignment readingOrder="0" vertical="bottom"/>
    </xf>
    <xf borderId="0" fillId="4" fontId="7" numFmtId="0" xfId="0" applyAlignment="1" applyFont="1">
      <alignment readingOrder="0" shrinkToFit="0" vertical="bottom" wrapText="0"/>
    </xf>
    <xf borderId="0" fillId="4" fontId="19" numFmtId="0" xfId="0" applyAlignment="1" applyFont="1">
      <alignment horizontal="center" readingOrder="0" shrinkToFit="0" vertical="bottom" wrapText="0"/>
    </xf>
    <xf borderId="0" fillId="11" fontId="7" numFmtId="0" xfId="0" applyAlignment="1" applyFont="1">
      <alignment readingOrder="0" shrinkToFit="0" vertical="top" wrapText="1"/>
    </xf>
    <xf borderId="0" fillId="11" fontId="7" numFmtId="0" xfId="0" applyAlignment="1" applyFont="1">
      <alignment readingOrder="0" vertical="bottom"/>
    </xf>
    <xf borderId="0" fillId="11" fontId="7" numFmtId="0" xfId="0" applyAlignment="1" applyFont="1">
      <alignment readingOrder="0" shrinkToFit="0" vertical="bottom" wrapText="0"/>
    </xf>
    <xf borderId="0" fillId="11" fontId="19" numFmtId="0" xfId="0" applyAlignment="1" applyFont="1">
      <alignment horizontal="center" readingOrder="0" shrinkToFit="0" vertical="bottom" wrapText="0"/>
    </xf>
    <xf borderId="0" fillId="4" fontId="19" numFmtId="0" xfId="0" applyAlignment="1" applyFont="1">
      <alignment horizontal="center" shrinkToFit="0" vertical="bottom" wrapText="0"/>
    </xf>
    <xf borderId="0" fillId="4" fontId="7" numFmtId="0" xfId="0" applyAlignment="1" applyFont="1">
      <alignment shrinkToFit="0" vertical="top" wrapText="1"/>
    </xf>
    <xf borderId="0" fillId="4" fontId="7" numFmtId="0" xfId="0" applyAlignment="1" applyFont="1">
      <alignment vertical="bottom"/>
    </xf>
    <xf borderId="0" fillId="4" fontId="7" numFmtId="0" xfId="0" applyAlignment="1" applyFont="1">
      <alignment shrinkToFit="0" vertical="bottom" wrapText="0"/>
    </xf>
    <xf borderId="0" fillId="11" fontId="7" numFmtId="0" xfId="0" applyAlignment="1" applyFont="1">
      <alignment shrinkToFit="0" vertical="top" wrapText="1"/>
    </xf>
    <xf borderId="0" fillId="11" fontId="19" numFmtId="0" xfId="0" applyAlignment="1" applyFont="1">
      <alignment horizontal="center" shrinkToFit="0" vertical="bottom" wrapText="0"/>
    </xf>
    <xf borderId="0" fillId="29" fontId="7" numFmtId="0" xfId="0" applyAlignment="1" applyFill="1" applyFont="1">
      <alignment vertical="bottom"/>
    </xf>
    <xf borderId="0" fillId="29" fontId="126" numFmtId="0" xfId="0" applyAlignment="1" applyFont="1">
      <alignment readingOrder="0"/>
    </xf>
    <xf borderId="0" fillId="29" fontId="7" numFmtId="0" xfId="0" applyAlignment="1" applyFont="1">
      <alignment shrinkToFit="0" vertical="bottom" wrapText="0"/>
    </xf>
    <xf borderId="0" fillId="29" fontId="19" numFmtId="0" xfId="0" applyAlignment="1" applyFont="1">
      <alignment horizontal="center" readingOrder="0" shrinkToFit="0" vertical="bottom" wrapText="0"/>
    </xf>
    <xf borderId="0" fillId="29" fontId="8" numFmtId="0" xfId="0" applyAlignment="1" applyFont="1">
      <alignment readingOrder="0"/>
    </xf>
    <xf borderId="0" fillId="29" fontId="8" numFmtId="0" xfId="0" applyFont="1"/>
    <xf borderId="0" fillId="2" fontId="7" numFmtId="0" xfId="0" applyAlignment="1" applyFont="1">
      <alignment shrinkToFit="0" vertical="top" wrapText="1"/>
    </xf>
    <xf borderId="0" fillId="2" fontId="7" numFmtId="0" xfId="0" applyAlignment="1" applyFont="1">
      <alignment vertical="bottom"/>
    </xf>
    <xf borderId="0" fillId="2" fontId="7" numFmtId="0" xfId="0" applyAlignment="1" applyFont="1">
      <alignment shrinkToFit="0" vertical="bottom" wrapText="0"/>
    </xf>
    <xf borderId="0" fillId="2" fontId="19" numFmtId="0" xfId="0" applyAlignment="1" applyFont="1">
      <alignment horizontal="center" shrinkToFit="0" vertical="bottom" wrapText="0"/>
    </xf>
    <xf borderId="0" fillId="2" fontId="19" numFmtId="0" xfId="0" applyAlignment="1" applyFont="1">
      <alignment horizontal="center" readingOrder="0" shrinkToFit="0" vertical="bottom" wrapText="0"/>
    </xf>
    <xf borderId="0" fillId="23" fontId="7" numFmtId="0" xfId="0" applyAlignment="1" applyFont="1">
      <alignment shrinkToFit="0" vertical="top" wrapText="1"/>
    </xf>
    <xf borderId="0" fillId="23" fontId="7" numFmtId="0" xfId="0" applyAlignment="1" applyFont="1">
      <alignment vertical="bottom"/>
    </xf>
    <xf borderId="0" fillId="23" fontId="7" numFmtId="0" xfId="0" applyAlignment="1" applyFont="1">
      <alignment shrinkToFit="0" vertical="bottom" wrapText="0"/>
    </xf>
    <xf borderId="0" fillId="23" fontId="19" numFmtId="0" xfId="0" applyAlignment="1" applyFont="1">
      <alignment horizontal="center" readingOrder="0" shrinkToFit="0" vertical="bottom" wrapText="0"/>
    </xf>
    <xf borderId="0" fillId="23" fontId="19" numFmtId="0" xfId="0" applyAlignment="1" applyFont="1">
      <alignment horizontal="center" shrinkToFit="0" vertical="bottom" wrapText="0"/>
    </xf>
    <xf borderId="0" fillId="22" fontId="7" numFmtId="0" xfId="0" applyAlignment="1" applyFont="1">
      <alignment shrinkToFit="0" vertical="top" wrapText="1"/>
    </xf>
    <xf borderId="0" fillId="22" fontId="7" numFmtId="0" xfId="0" applyAlignment="1" applyFont="1">
      <alignment vertical="bottom"/>
    </xf>
    <xf borderId="0" fillId="22" fontId="7" numFmtId="0" xfId="0" applyAlignment="1" applyFont="1">
      <alignment shrinkToFit="0" vertical="bottom" wrapText="0"/>
    </xf>
    <xf borderId="0" fillId="22" fontId="19" numFmtId="0" xfId="0" applyAlignment="1" applyFont="1">
      <alignment horizontal="center" shrinkToFit="0" vertical="bottom" wrapText="0"/>
    </xf>
    <xf borderId="0" fillId="22" fontId="19" numFmtId="0" xfId="0" applyAlignment="1" applyFont="1">
      <alignment horizontal="center" readingOrder="0" shrinkToFit="0" vertical="bottom" wrapText="0"/>
    </xf>
    <xf borderId="0" fillId="12" fontId="7" numFmtId="0" xfId="0" applyAlignment="1" applyFont="1">
      <alignment shrinkToFit="0" vertical="top" wrapText="1"/>
    </xf>
    <xf borderId="0" fillId="12" fontId="7" numFmtId="0" xfId="0" applyAlignment="1" applyFont="1">
      <alignment vertical="bottom"/>
    </xf>
    <xf borderId="0" fillId="12" fontId="7" numFmtId="0" xfId="0" applyAlignment="1" applyFont="1">
      <alignment shrinkToFit="0" vertical="bottom" wrapText="0"/>
    </xf>
    <xf borderId="0" fillId="12" fontId="19" numFmtId="0" xfId="0" applyAlignment="1" applyFont="1">
      <alignment horizontal="center" shrinkToFit="0" vertical="bottom" wrapText="0"/>
    </xf>
    <xf borderId="0" fillId="12" fontId="19" numFmtId="0" xfId="0" applyAlignment="1" applyFont="1">
      <alignment horizontal="center" readingOrder="0" shrinkToFit="0" vertical="bottom" wrapText="0"/>
    </xf>
    <xf borderId="0" fillId="17" fontId="7" numFmtId="0" xfId="0" applyAlignment="1" applyFont="1">
      <alignment shrinkToFit="0" vertical="top" wrapText="1"/>
    </xf>
    <xf borderId="0" fillId="17" fontId="7" numFmtId="0" xfId="0" applyAlignment="1" applyFont="1">
      <alignment vertical="bottom"/>
    </xf>
    <xf borderId="0" fillId="17" fontId="7" numFmtId="0" xfId="0" applyAlignment="1" applyFont="1">
      <alignment shrinkToFit="0" vertical="bottom" wrapText="0"/>
    </xf>
    <xf borderId="0" fillId="17" fontId="19" numFmtId="0" xfId="0" applyAlignment="1" applyFont="1">
      <alignment horizontal="center" shrinkToFit="0" vertical="bottom" wrapText="0"/>
    </xf>
    <xf borderId="0" fillId="17" fontId="19" numFmtId="0" xfId="0" applyAlignment="1" applyFont="1">
      <alignment horizontal="center" readingOrder="0" shrinkToFit="0" vertical="bottom" wrapText="0"/>
    </xf>
    <xf borderId="0" fillId="15" fontId="7" numFmtId="0" xfId="0" applyAlignment="1" applyFont="1">
      <alignment shrinkToFit="0" vertical="top" wrapText="1"/>
    </xf>
    <xf borderId="0" fillId="15" fontId="7" numFmtId="0" xfId="0" applyAlignment="1" applyFont="1">
      <alignment vertical="bottom"/>
    </xf>
    <xf borderId="0" fillId="15" fontId="7" numFmtId="0" xfId="0" applyAlignment="1" applyFont="1">
      <alignment shrinkToFit="0" vertical="bottom" wrapText="0"/>
    </xf>
    <xf borderId="0" fillId="15" fontId="19" numFmtId="0" xfId="0" applyAlignment="1" applyFont="1">
      <alignment horizontal="center" shrinkToFit="0" vertical="bottom" wrapText="0"/>
    </xf>
    <xf borderId="0" fillId="15" fontId="19" numFmtId="0" xfId="0" applyAlignment="1" applyFont="1">
      <alignment horizontal="center" readingOrder="0" shrinkToFit="0" vertical="bottom" wrapText="0"/>
    </xf>
    <xf borderId="0" fillId="24" fontId="7" numFmtId="0" xfId="0" applyAlignment="1" applyFont="1">
      <alignment shrinkToFit="0" vertical="top" wrapText="1"/>
    </xf>
    <xf borderId="0" fillId="24" fontId="7" numFmtId="0" xfId="0" applyAlignment="1" applyFont="1">
      <alignment vertical="bottom"/>
    </xf>
    <xf borderId="0" fillId="24" fontId="7" numFmtId="0" xfId="0" applyAlignment="1" applyFont="1">
      <alignment shrinkToFit="0" vertical="bottom" wrapText="0"/>
    </xf>
    <xf borderId="0" fillId="24" fontId="19" numFmtId="0" xfId="0" applyAlignment="1" applyFont="1">
      <alignment horizontal="center" shrinkToFit="0" vertical="bottom" wrapText="0"/>
    </xf>
    <xf borderId="0" fillId="24" fontId="19" numFmtId="0" xfId="0" applyAlignment="1" applyFont="1">
      <alignment horizontal="center" readingOrder="0" shrinkToFit="0" vertical="bottom" wrapText="0"/>
    </xf>
    <xf borderId="0" fillId="17" fontId="8" numFmtId="0" xfId="0" applyAlignment="1" applyFont="1">
      <alignment readingOrder="0"/>
    </xf>
    <xf borderId="0" fillId="17" fontId="8" numFmtId="0" xfId="0" applyFont="1"/>
    <xf borderId="0" fillId="17" fontId="12" numFmtId="0" xfId="0" applyAlignment="1" applyFont="1">
      <alignment shrinkToFit="0" vertical="bottom" wrapText="0"/>
    </xf>
    <xf borderId="0" fillId="0" fontId="3" numFmtId="0" xfId="0" applyAlignment="1" applyFont="1">
      <alignment horizontal="left" readingOrder="0"/>
    </xf>
    <xf borderId="0" fillId="5" fontId="127" numFmtId="0" xfId="0" applyFont="1"/>
    <xf borderId="0" fillId="0" fontId="8" numFmtId="0" xfId="0" applyAlignment="1" applyFont="1">
      <alignment horizontal="left" readingOrder="0"/>
    </xf>
    <xf borderId="0" fillId="5" fontId="127" numFmtId="0" xfId="0" applyFont="1"/>
    <xf borderId="0" fillId="4" fontId="0" numFmtId="0" xfId="0" applyAlignment="1" applyFont="1">
      <alignment readingOrder="0" shrinkToFit="0" wrapText="0"/>
    </xf>
    <xf borderId="0" fillId="11" fontId="19" numFmtId="0" xfId="0" applyAlignment="1" applyFont="1">
      <alignment horizontal="left" readingOrder="0" shrinkToFit="0" vertical="bottom" wrapText="0"/>
    </xf>
    <xf borderId="0" fillId="4" fontId="19" numFmtId="0" xfId="0" applyAlignment="1" applyFont="1">
      <alignment horizontal="left" readingOrder="0" shrinkToFit="0" vertical="bottom" wrapText="0"/>
    </xf>
    <xf borderId="0" fillId="4" fontId="19" numFmtId="0" xfId="0" applyAlignment="1" applyFont="1">
      <alignment horizontal="left" shrinkToFit="0" vertical="bottom" wrapText="0"/>
    </xf>
    <xf borderId="0" fillId="11" fontId="19" numFmtId="0" xfId="0" applyAlignment="1" applyFont="1">
      <alignment horizontal="left" shrinkToFit="0" vertical="bottom" wrapText="0"/>
    </xf>
    <xf borderId="0" fillId="2" fontId="19" numFmtId="0" xfId="0" applyAlignment="1" applyFont="1">
      <alignment horizontal="left" readingOrder="0" shrinkToFit="0" vertical="bottom" wrapText="0"/>
    </xf>
    <xf borderId="0" fillId="2" fontId="19" numFmtId="0" xfId="0" applyAlignment="1" applyFont="1">
      <alignment horizontal="left" shrinkToFit="0" vertical="bottom" wrapText="0"/>
    </xf>
    <xf borderId="0" fillId="23" fontId="19" numFmtId="0" xfId="0" applyAlignment="1" applyFont="1">
      <alignment horizontal="left" readingOrder="0" shrinkToFit="0" vertical="bottom" wrapText="0"/>
    </xf>
    <xf borderId="0" fillId="22" fontId="19" numFmtId="0" xfId="0" applyAlignment="1" applyFont="1">
      <alignment horizontal="left" shrinkToFit="0" vertical="bottom" wrapText="0"/>
    </xf>
    <xf borderId="0" fillId="22" fontId="19" numFmtId="0" xfId="0" applyAlignment="1" applyFont="1">
      <alignment horizontal="left" readingOrder="0" shrinkToFit="0" vertical="bottom" wrapText="0"/>
    </xf>
    <xf borderId="0" fillId="12" fontId="19" numFmtId="0" xfId="0" applyAlignment="1" applyFont="1">
      <alignment horizontal="left" readingOrder="0" shrinkToFit="0" vertical="bottom" wrapText="0"/>
    </xf>
    <xf borderId="0" fillId="17" fontId="19" numFmtId="0" xfId="0" applyAlignment="1" applyFont="1">
      <alignment horizontal="left" readingOrder="0" shrinkToFit="0" vertical="bottom" wrapText="0"/>
    </xf>
    <xf borderId="0" fillId="17" fontId="19" numFmtId="0" xfId="0" applyAlignment="1" applyFont="1">
      <alignment horizontal="left" shrinkToFit="0" vertical="bottom" wrapText="0"/>
    </xf>
    <xf borderId="0" fillId="22" fontId="7" numFmtId="0" xfId="0" applyAlignment="1" applyFont="1">
      <alignment readingOrder="0" vertical="bottom"/>
    </xf>
    <xf borderId="0" fillId="22" fontId="7" numFmtId="0" xfId="0" applyAlignment="1" applyFont="1">
      <alignment readingOrder="0" shrinkToFit="0" vertical="bottom" wrapText="0"/>
    </xf>
    <xf borderId="0" fillId="15" fontId="19" numFmtId="0" xfId="0" applyAlignment="1" applyFont="1">
      <alignment horizontal="left" shrinkToFit="0" vertical="bottom" wrapText="0"/>
    </xf>
    <xf borderId="0" fillId="15" fontId="19" numFmtId="0" xfId="0" applyAlignment="1" applyFont="1">
      <alignment horizontal="left" readingOrder="0" shrinkToFit="0" vertical="bottom" wrapText="0"/>
    </xf>
    <xf borderId="0" fillId="15" fontId="19" numFmtId="0" xfId="0" applyAlignment="1" applyFont="1">
      <alignment horizontal="left" readingOrder="0" shrinkToFit="0" vertical="bottom" wrapText="0"/>
    </xf>
    <xf borderId="0" fillId="23" fontId="19" numFmtId="0" xfId="0" applyAlignment="1" applyFont="1">
      <alignment horizontal="left" readingOrder="0" shrinkToFit="0" vertical="bottom" wrapText="0"/>
    </xf>
    <xf borderId="0" fillId="24" fontId="19" numFmtId="0" xfId="0" applyAlignment="1" applyFont="1">
      <alignment horizontal="left" shrinkToFit="0" vertical="bottom" wrapText="0"/>
    </xf>
    <xf borderId="0" fillId="24" fontId="19" numFmtId="0" xfId="0" applyAlignment="1" applyFont="1">
      <alignment horizontal="left" readingOrder="0"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xpertiza.csc.ncsu.edu/index.php/CSC/ECE_517_Fall_2020_-_E2079._Improve_Search_Facility_In_Expertiza" TargetMode="External"/><Relationship Id="rId190" Type="http://schemas.openxmlformats.org/officeDocument/2006/relationships/hyperlink" Target="https://github.com/chaoli599195/FinalProject517" TargetMode="External"/><Relationship Id="rId42" Type="http://schemas.openxmlformats.org/officeDocument/2006/relationships/hyperlink" Target="https://expertiza.csc.ncsu.edu/index.php/CSC/ECE_517_Fall_2020_-_E2077._Mentor_management_for_assignments_without_topics_E2024" TargetMode="External"/><Relationship Id="rId41" Type="http://schemas.openxmlformats.org/officeDocument/2006/relationships/hyperlink" Target="https://expertiza.csc.ncsu.edu/index.php/CSC/ECE_517_Fall_2020_-_E2078._Improve_self-review_Link_peer_review_%26_self-review_to_derive_grades" TargetMode="External"/><Relationship Id="rId44" Type="http://schemas.openxmlformats.org/officeDocument/2006/relationships/hyperlink" Target="https://expertiza.csc.ncsu.edu/index.php/CSC/ECE_517_Fall_2020_-_E2075._calibration_submissions_should_be_copied_along_with_calibration_assignments" TargetMode="External"/><Relationship Id="rId194" Type="http://schemas.openxmlformats.org/officeDocument/2006/relationships/hyperlink" Target="https://github.com/ssgujar/expertiza" TargetMode="External"/><Relationship Id="rId43" Type="http://schemas.openxmlformats.org/officeDocument/2006/relationships/hyperlink" Target="https://youtu.be/-Eq-SMUVQOU" TargetMode="External"/><Relationship Id="rId193" Type="http://schemas.openxmlformats.org/officeDocument/2006/relationships/hyperlink" Target="https://github.com/wshadowhunter/oss2" TargetMode="External"/><Relationship Id="rId46" Type="http://schemas.openxmlformats.org/officeDocument/2006/relationships/hyperlink" Target="http://152.7.98.255:8080/" TargetMode="External"/><Relationship Id="rId192" Type="http://schemas.openxmlformats.org/officeDocument/2006/relationships/hyperlink" Target="https://github.com/sindhuragade/expertiza/tree/ourcontributions" TargetMode="External"/><Relationship Id="rId45" Type="http://schemas.openxmlformats.org/officeDocument/2006/relationships/hyperlink" Target="https://expertiza.csc.ncsu.edu/index.php/CSC/ECE_517_Fall_2020_-_E2074._Extensions_to_teammate_review" TargetMode="External"/><Relationship Id="rId191" Type="http://schemas.openxmlformats.org/officeDocument/2006/relationships/hyperlink" Target="https://github.com/zhengzengprc/expertiza" TargetMode="External"/><Relationship Id="rId48" Type="http://schemas.openxmlformats.org/officeDocument/2006/relationships/hyperlink" Target="https://expertiza.csc.ncsu.edu/index.php/CSC/ECE_517_Fall_2020_-_E2071._Improve_assessment360_controller.rb" TargetMode="External"/><Relationship Id="rId187" Type="http://schemas.openxmlformats.org/officeDocument/2006/relationships/hyperlink" Target="https://github.com/omercs/expertiza" TargetMode="External"/><Relationship Id="rId47" Type="http://schemas.openxmlformats.org/officeDocument/2006/relationships/hyperlink" Target="https://expertiza.csc.ncsu.edu/index.php/CSC/ECE_517_Fall_2020/oss_E2072_RLM" TargetMode="External"/><Relationship Id="rId186" Type="http://schemas.openxmlformats.org/officeDocument/2006/relationships/hyperlink" Target="https://docs.google.com/document/d/1bqgkRi2qxQXfxXaIlB_2v_Ik4-ZU0DLByKUaRVC-5U0/edit" TargetMode="External"/><Relationship Id="rId185" Type="http://schemas.openxmlformats.org/officeDocument/2006/relationships/hyperlink" Target="https://github.com/mdmeadow/expertiza" TargetMode="External"/><Relationship Id="rId49" Type="http://schemas.openxmlformats.org/officeDocument/2006/relationships/hyperlink" Target="http://152.7.98.229:8080/" TargetMode="External"/><Relationship Id="rId184" Type="http://schemas.openxmlformats.org/officeDocument/2006/relationships/hyperlink" Target="https://github.com/ssinha3/OSS-EXPERTIZA-FALL2012-E604B.git" TargetMode="External"/><Relationship Id="rId189" Type="http://schemas.openxmlformats.org/officeDocument/2006/relationships/hyperlink" Target="https://github.com/capsang/expertiza/tree/social_bookmarking" TargetMode="External"/><Relationship Id="rId188" Type="http://schemas.openxmlformats.org/officeDocument/2006/relationships/hyperlink" Target="https://github.com/omercs/expertiza" TargetMode="External"/><Relationship Id="rId31" Type="http://schemas.openxmlformats.org/officeDocument/2006/relationships/hyperlink" Target="https://expertiza.csc.ncsu.edu/index.php/CSC/ECE_517_Spring_2021_-_E2100._Tagging_report_for_students" TargetMode="External"/><Relationship Id="rId30" Type="http://schemas.openxmlformats.org/officeDocument/2006/relationships/hyperlink" Target="https://expertiza.ncsu.edu/impersonate/impersonate?user%5Bname%5D=smdupor" TargetMode="External"/><Relationship Id="rId33" Type="http://schemas.openxmlformats.org/officeDocument/2006/relationships/hyperlink" Target="https://expertiza.csc.ncsu.edu/index.php/CSC/ECE_517_Fall_2020_-_E2086._Let_course_staff_as_well_as_students_do_reviews" TargetMode="External"/><Relationship Id="rId183" Type="http://schemas.openxmlformats.org/officeDocument/2006/relationships/hyperlink" Target="https://github.com/vanditk/expertiza.git" TargetMode="External"/><Relationship Id="rId32" Type="http://schemas.openxmlformats.org/officeDocument/2006/relationships/hyperlink" Target="https://expertiza.csc.ncsu.edu/index.php/CSC/ECE_517_Fall_2020_-_E2087._Conflict_notification._Improve_Search_Facility_In_Expertiza" TargetMode="External"/><Relationship Id="rId182" Type="http://schemas.openxmlformats.org/officeDocument/2006/relationships/hyperlink" Target="http://github.com/csc517/Expertiza.git" TargetMode="External"/><Relationship Id="rId35" Type="http://schemas.openxmlformats.org/officeDocument/2006/relationships/hyperlink" Target="http://expertiza.csc.ncsu.edu/index.php/CSC/ECE_517_Fall_2020_-_E2084_sort_instructor_reports_by_name_ID_score_etc" TargetMode="External"/><Relationship Id="rId181" Type="http://schemas.openxmlformats.org/officeDocument/2006/relationships/hyperlink" Target="http://152.1.13.155:3000/" TargetMode="External"/><Relationship Id="rId34" Type="http://schemas.openxmlformats.org/officeDocument/2006/relationships/hyperlink" Target="https://expertiza.csc.ncsu.edu/index.php/CSC/ECE_517_Fall_2020_-_E2085._Allow_reviewers_to_bid_on_what_to_review" TargetMode="External"/><Relationship Id="rId180" Type="http://schemas.openxmlformats.org/officeDocument/2006/relationships/hyperlink" Target="http://152.46.20.17:3000" TargetMode="External"/><Relationship Id="rId37" Type="http://schemas.openxmlformats.org/officeDocument/2006/relationships/hyperlink" Target="https://expertiza.csc.ncsu.edu/index.php/CSC/ECE_517_Fall_2020_-_E2082._Track_time_between_successive_tag_assignments" TargetMode="External"/><Relationship Id="rId176" Type="http://schemas.openxmlformats.org/officeDocument/2006/relationships/hyperlink" Target="http://www.youtube.com/watch?v=OMMECC8lYXQ" TargetMode="External"/><Relationship Id="rId36" Type="http://schemas.openxmlformats.org/officeDocument/2006/relationships/hyperlink" Target="https://expertiza.csc.ncsu.edu/index.php/CSC/ECE_517_Fall_2020_-_E2083._Revision_planning_tool_E2016" TargetMode="External"/><Relationship Id="rId175" Type="http://schemas.openxmlformats.org/officeDocument/2006/relationships/hyperlink" Target="http://www.youtube.com/watch?v=qPr7xdgcMPU&amp;feature=youtu.be" TargetMode="External"/><Relationship Id="rId39" Type="http://schemas.openxmlformats.org/officeDocument/2006/relationships/hyperlink" Target="http://expertiza.csc.ncsu.edu/index.php/CSC/ECE_517_Fall_2020_-_E2080._Track_the_time_students_look_at_other_submissions" TargetMode="External"/><Relationship Id="rId174" Type="http://schemas.openxmlformats.org/officeDocument/2006/relationships/hyperlink" Target="http://www.youtube.com/watch?v=QIwF1O-iOH0&amp;feature=youtu.be" TargetMode="External"/><Relationship Id="rId38" Type="http://schemas.openxmlformats.org/officeDocument/2006/relationships/hyperlink" Target="https://expertiza.csc.ncsu.edu/index.php/CSC/ECE_517_Fall_2020_-_E2081._Add_a_%22cake%22_item_type_to_rubrics" TargetMode="External"/><Relationship Id="rId173" Type="http://schemas.openxmlformats.org/officeDocument/2006/relationships/hyperlink" Target="https://github.com/shoubhik/expertiza" TargetMode="External"/><Relationship Id="rId179" Type="http://schemas.openxmlformats.org/officeDocument/2006/relationships/hyperlink" Target="https://github.com/tksrules/expertiza.git" TargetMode="External"/><Relationship Id="rId178" Type="http://schemas.openxmlformats.org/officeDocument/2006/relationships/hyperlink" Target="https://github.com/nishitam/Experiza-OSS-E621.git" TargetMode="External"/><Relationship Id="rId177" Type="http://schemas.openxmlformats.org/officeDocument/2006/relationships/hyperlink" Target="https://docs.google.com/document/d/1MjQ-XN7UBQGleTWJHNnME8raPcvim2oHEUM4m40bprQ/edit" TargetMode="External"/><Relationship Id="rId20" Type="http://schemas.openxmlformats.org/officeDocument/2006/relationships/hyperlink" Target="https://expertiza.ncsu.edu/impersonate/impersonate?user%5Bname%5D=rdsmith9" TargetMode="External"/><Relationship Id="rId22" Type="http://schemas.openxmlformats.org/officeDocument/2006/relationships/hyperlink" Target="https://expertiza.ncsu.edu/impersonate/impersonate?user%5Bname%5D=hmkachha" TargetMode="External"/><Relationship Id="rId21" Type="http://schemas.openxmlformats.org/officeDocument/2006/relationships/hyperlink" Target="http://152.7.98.122:8080/" TargetMode="External"/><Relationship Id="rId24" Type="http://schemas.openxmlformats.org/officeDocument/2006/relationships/hyperlink" Target="https://expertiza.ncsu.edu/impersonate/impersonate?user%5Bname%5D=jchinch" TargetMode="External"/><Relationship Id="rId23" Type="http://schemas.openxmlformats.org/officeDocument/2006/relationships/hyperlink" Target="https://github.com/expertiza/expertiza/pull/1913" TargetMode="External"/><Relationship Id="rId26" Type="http://schemas.openxmlformats.org/officeDocument/2006/relationships/hyperlink" Target="https://expertiza.ncsu.edu/impersonate/impersonate?user%5Bname%5D=nnhimes" TargetMode="External"/><Relationship Id="rId25" Type="http://schemas.openxmlformats.org/officeDocument/2006/relationships/hyperlink" Target="http://152.7.98.115:8080/" TargetMode="External"/><Relationship Id="rId28" Type="http://schemas.openxmlformats.org/officeDocument/2006/relationships/hyperlink" Target="https://expertiza.ncsu.edu/impersonate/impersonate?user%5Bname%5D=jpvillam" TargetMode="External"/><Relationship Id="rId27" Type="http://schemas.openxmlformats.org/officeDocument/2006/relationships/hyperlink" Target="https://github.com/nnhimes/expertiza" TargetMode="External"/><Relationship Id="rId29" Type="http://schemas.openxmlformats.org/officeDocument/2006/relationships/hyperlink" Target="https://expertiza.csc.ncsu.edu/index.php/CSC/ECE_517_Spring_2021_-_E2101._Refactor_questionnaires_controller.rb" TargetMode="External"/><Relationship Id="rId11" Type="http://schemas.openxmlformats.org/officeDocument/2006/relationships/hyperlink" Target="https://expertiza.csc.ncsu.edu/index.php/CSC/ECE_517_Spring_2021_-_E2110._Regulate_changing_of_rubrics_while_projects_are_in_progress" TargetMode="External"/><Relationship Id="rId10" Type="http://schemas.openxmlformats.org/officeDocument/2006/relationships/hyperlink" Target="https://expertiza.ncsu.edu/impersonate/impersonate?user%5Bname%5D=nnhimes" TargetMode="External"/><Relationship Id="rId13" Type="http://schemas.openxmlformats.org/officeDocument/2006/relationships/hyperlink" Target="https://expertiza.csc.ncsu.edu/index.php/CSC/ECE_517_Spring_2021_-_E2109._Completion/Progress_view" TargetMode="External"/><Relationship Id="rId12" Type="http://schemas.openxmlformats.org/officeDocument/2006/relationships/hyperlink" Target="https://expertiza.ncsu.edu/impersonate/impersonate?user%5Bname%5D=skrish28" TargetMode="External"/><Relationship Id="rId15" Type="http://schemas.openxmlformats.org/officeDocument/2006/relationships/hyperlink" Target="https://github.com/expertiza/expertiza/pull/1907" TargetMode="External"/><Relationship Id="rId198" Type="http://schemas.openxmlformats.org/officeDocument/2006/relationships/vmlDrawing" Target="../drawings/vmlDrawing1.vml"/><Relationship Id="rId14" Type="http://schemas.openxmlformats.org/officeDocument/2006/relationships/hyperlink" Target="https://expertiza.ncsu.edu/impersonate/impersonate?user%5Bname%5D=jmmolina" TargetMode="External"/><Relationship Id="rId197" Type="http://schemas.openxmlformats.org/officeDocument/2006/relationships/drawing" Target="../drawings/drawing1.xml"/><Relationship Id="rId17" Type="http://schemas.openxmlformats.org/officeDocument/2006/relationships/hyperlink" Target="https://github.com/Jordan-Farthing/expertiza/tree/GradeControllerRefactoring" TargetMode="External"/><Relationship Id="rId196" Type="http://schemas.openxmlformats.org/officeDocument/2006/relationships/hyperlink" Target="http://152.1.13.251:5801/" TargetMode="External"/><Relationship Id="rId16" Type="http://schemas.openxmlformats.org/officeDocument/2006/relationships/hyperlink" Target="https://expertiza.ncsu.edu/impersonate/impersonate?user%5Bname%5D=mjfarthi" TargetMode="External"/><Relationship Id="rId195" Type="http://schemas.openxmlformats.org/officeDocument/2006/relationships/hyperlink" Target="https://github.com/srinath-sridhar/Expertiza-E209" TargetMode="External"/><Relationship Id="rId19" Type="http://schemas.openxmlformats.org/officeDocument/2006/relationships/hyperlink" Target="https://expertiza.csc.ncsu.edu/index.php/CSC/ECE_517_Spring_2021_-_E2106._Fix_view_in_student_task/list_page" TargetMode="External"/><Relationship Id="rId18" Type="http://schemas.openxmlformats.org/officeDocument/2006/relationships/hyperlink" Target="https://expertiza.ncsu.edu/impersonate/impersonate?user%5Bname%5D=nsundar" TargetMode="External"/><Relationship Id="rId84" Type="http://schemas.openxmlformats.org/officeDocument/2006/relationships/hyperlink" Target="https://github.com/expertiza/expertiza/pull/1560" TargetMode="External"/><Relationship Id="rId83" Type="http://schemas.openxmlformats.org/officeDocument/2006/relationships/hyperlink" Target="https://github.com/expertiza/expertiza/pull/1535" TargetMode="External"/><Relationship Id="rId86" Type="http://schemas.openxmlformats.org/officeDocument/2006/relationships/hyperlink" Target="http://wiki.expertiza.ncsu.edu/index.php/E1936_Specialized_Rubrics" TargetMode="External"/><Relationship Id="rId85" Type="http://schemas.openxmlformats.org/officeDocument/2006/relationships/hyperlink" Target="https://github.com/expertiza/expertiza/pull/1557" TargetMode="External"/><Relationship Id="rId88" Type="http://schemas.openxmlformats.org/officeDocument/2006/relationships/hyperlink" Target="https://github.com/expertiza/expertiza/pull/1464" TargetMode="External"/><Relationship Id="rId150" Type="http://schemas.openxmlformats.org/officeDocument/2006/relationships/hyperlink" Target="http://wiki.expertiza.ncsu.edu/index.php/CSC/CSC_517_Fall_2017/ProjectPurple" TargetMode="External"/><Relationship Id="rId87" Type="http://schemas.openxmlformats.org/officeDocument/2006/relationships/hyperlink" Target="https://youtu.be/yyxX_kRYxLc" TargetMode="External"/><Relationship Id="rId89" Type="http://schemas.openxmlformats.org/officeDocument/2006/relationships/hyperlink" Target="http://wiki.expertiza.ncsu.edu/index.php/CSC/ECE_517_Spring_2019_-_Project_E1930._Improving_Search_Facility_in_Expertiza" TargetMode="External"/><Relationship Id="rId80" Type="http://schemas.openxmlformats.org/officeDocument/2006/relationships/hyperlink" Target="https://github.com/dppss91102/expertiza" TargetMode="External"/><Relationship Id="rId82" Type="http://schemas.openxmlformats.org/officeDocument/2006/relationships/hyperlink" Target="http://wiki.expertiza.ncsu.edu/index.php/CSC/ECE_517_Fall_2019_-_E1945._Refactor_users_controller.rb" TargetMode="External"/><Relationship Id="rId81" Type="http://schemas.openxmlformats.org/officeDocument/2006/relationships/hyperlink" Target="https://github.com/expertiza/expertiza/pull/1526" TargetMode="External"/><Relationship Id="rId1" Type="http://schemas.openxmlformats.org/officeDocument/2006/relationships/comments" Target="../comments1.xml"/><Relationship Id="rId2" Type="http://schemas.openxmlformats.org/officeDocument/2006/relationships/hyperlink" Target="https://expertiza.ncsu.edu/impersonate/impersonate?user%5Bname%5D=bwanza" TargetMode="External"/><Relationship Id="rId3" Type="http://schemas.openxmlformats.org/officeDocument/2006/relationships/hyperlink" Target="https://expertiza.csc.ncsu.edu/index.php/CSC/ECE_517_Spring_2021_-_E2115._Mentor_management_for_assignments_without_topics" TargetMode="External"/><Relationship Id="rId149" Type="http://schemas.openxmlformats.org/officeDocument/2006/relationships/hyperlink" Target="https://www.youtube.com/watch?v=MyMc1RlLEzU&amp;feature=youtu.be" TargetMode="External"/><Relationship Id="rId4" Type="http://schemas.openxmlformats.org/officeDocument/2006/relationships/hyperlink" Target="https://expertiza.ncsu.edu/impersonate/impersonate?user%5Bname%5D=akashya3" TargetMode="External"/><Relationship Id="rId148" Type="http://schemas.openxmlformats.org/officeDocument/2006/relationships/hyperlink" Target="https://expertiza.csc.ncsu.edu/index.php/CSC/ECE_517_Fall_2017/E17A4_Allow_calibration_to_be_part_of_an_assignment_Team34https://github.com/nawenn/expertiza" TargetMode="External"/><Relationship Id="rId9" Type="http://schemas.openxmlformats.org/officeDocument/2006/relationships/hyperlink" Target="https://expertiza.csc.ncsu.edu/index.php/CSC/ECE_517_Spring_2021_-_E2111._Refactor_github_metrics_integration" TargetMode="External"/><Relationship Id="rId143" Type="http://schemas.openxmlformats.org/officeDocument/2006/relationships/hyperlink" Target="http://wiki.expertiza.ncsu.edu/index.php/CSC/ECE_517_Spring_2018/E1814_Write_unit_tests_for_collusion_cycle.rb" TargetMode="External"/><Relationship Id="rId142" Type="http://schemas.openxmlformats.org/officeDocument/2006/relationships/hyperlink" Target="http://wiki.expertiza.ncsu.edu/index.php/CSC/ECE_517_Spring_2018-_Project_E1815:_Improvements_to_review_grader" TargetMode="External"/><Relationship Id="rId141" Type="http://schemas.openxmlformats.org/officeDocument/2006/relationships/hyperlink" Target="https://github.com/expertiza/expertiza/pull/1274" TargetMode="External"/><Relationship Id="rId140" Type="http://schemas.openxmlformats.org/officeDocument/2006/relationships/hyperlink" Target="https://github.com/expertiza/expertiza/pull/1248" TargetMode="External"/><Relationship Id="rId5" Type="http://schemas.openxmlformats.org/officeDocument/2006/relationships/hyperlink" Target="https://expertiza.csc.ncsu.edu/index.php/CSC/ECE_517_Spring_2021_-_E2113._Enhancements_to_review_grader" TargetMode="External"/><Relationship Id="rId147" Type="http://schemas.openxmlformats.org/officeDocument/2006/relationships/hyperlink" Target="http://wiki.expertiza.ncsu.edu/index.php/CSC/ECE_517_Spring_2018_-_E1800:_Add_past-due_assignments_to_task_list" TargetMode="External"/><Relationship Id="rId6" Type="http://schemas.openxmlformats.org/officeDocument/2006/relationships/hyperlink" Target="https://expertiza.ncsu.edu/impersonate/impersonate?user%5Bname%5D=hmkachha" TargetMode="External"/><Relationship Id="rId146" Type="http://schemas.openxmlformats.org/officeDocument/2006/relationships/hyperlink" Target="http://wiki.expertiza.ncsu.edu/index.php/CSC/ECE_517_Spring_2018_E1812" TargetMode="External"/><Relationship Id="rId7" Type="http://schemas.openxmlformats.org/officeDocument/2006/relationships/hyperlink" Target="https://expertiza.csc.ncsu.edu/index.php/CSC/ECE_517_Spring_2021_-_E2112._Integrate_Suggestion_Detection_Algorithm" TargetMode="External"/><Relationship Id="rId145" Type="http://schemas.openxmlformats.org/officeDocument/2006/relationships/hyperlink" Target="https://expertiza.csc.ncsu.edu/index.php/CSC/ECE_517_Spring_2018-_Project_E1812:_on_the_fly_calc.rb" TargetMode="External"/><Relationship Id="rId8" Type="http://schemas.openxmlformats.org/officeDocument/2006/relationships/hyperlink" Target="https://expertiza.ncsu.edu/impersonate/impersonate?user%5Bname%5D=smdupor" TargetMode="External"/><Relationship Id="rId144" Type="http://schemas.openxmlformats.org/officeDocument/2006/relationships/hyperlink" Target="https://expertiza.csc.ncsu.edu/index.php/CSC/ECE_517_Spring_2018/E1813_Test_Menu_Items_Model" TargetMode="External"/><Relationship Id="rId73" Type="http://schemas.openxmlformats.org/officeDocument/2006/relationships/hyperlink" Target="https://github.com/expertiza/expertiza/pull/1687/" TargetMode="External"/><Relationship Id="rId72" Type="http://schemas.openxmlformats.org/officeDocument/2006/relationships/hyperlink" Target="https://github.com/expertiza/expertiza/pull/1687" TargetMode="External"/><Relationship Id="rId75" Type="http://schemas.openxmlformats.org/officeDocument/2006/relationships/hyperlink" Target="https://github.com/expertiza/expertiza/pull/1661" TargetMode="External"/><Relationship Id="rId74" Type="http://schemas.openxmlformats.org/officeDocument/2006/relationships/hyperlink" Target="http://wiki.expertiza.ncsu.edu/index.php/CSC/ECE_517_Fall_2019_-_E1984._Improve_self-review_Link_peer_review_%26_self-review_to_derive_grades" TargetMode="External"/><Relationship Id="rId77" Type="http://schemas.openxmlformats.org/officeDocument/2006/relationships/hyperlink" Target="https://github.com/expertiza/expertiza/pull/1561" TargetMode="External"/><Relationship Id="rId76" Type="http://schemas.openxmlformats.org/officeDocument/2006/relationships/hyperlink" Target="http://wiki.expertiza.ncsu.edu/index.php/CSC/ECE_517_Fall_2019_-_Project_E1973._Team_Based_Reviewing" TargetMode="External"/><Relationship Id="rId79" Type="http://schemas.openxmlformats.org/officeDocument/2006/relationships/hyperlink" Target="https://github.com/expertiza/expertiza/pull/1523" TargetMode="External"/><Relationship Id="rId78" Type="http://schemas.openxmlformats.org/officeDocument/2006/relationships/hyperlink" Target="https://github.com/wangdavid84/expertiza.git" TargetMode="External"/><Relationship Id="rId71" Type="http://schemas.openxmlformats.org/officeDocument/2006/relationships/hyperlink" Target="https://expertiza.csc.ncsu.edu/index.php/CSC/ECE_517_Spring_2020_-_E2006._Refactor_Tree_Display_Controller" TargetMode="External"/><Relationship Id="rId70" Type="http://schemas.openxmlformats.org/officeDocument/2006/relationships/hyperlink" Target="https://expertiza.csc.ncsu.edu/index.php/CSC/ECE_517_Spring_2020_-_Project_E2008._Refactor_summary_helper.rb" TargetMode="External"/><Relationship Id="rId139" Type="http://schemas.openxmlformats.org/officeDocument/2006/relationships/hyperlink" Target="https://github.com/expertiza/expertiza/pull/1240" TargetMode="External"/><Relationship Id="rId138" Type="http://schemas.openxmlformats.org/officeDocument/2006/relationships/hyperlink" Target="https://github.com/expertiza/expertiza/pull/1272" TargetMode="External"/><Relationship Id="rId137" Type="http://schemas.openxmlformats.org/officeDocument/2006/relationships/hyperlink" Target="https://github.com/expertiza/expertiza/pull/1267" TargetMode="External"/><Relationship Id="rId132" Type="http://schemas.openxmlformats.org/officeDocument/2006/relationships/hyperlink" Target="https://github.com/expertiza/expertiza/pull/1253" TargetMode="External"/><Relationship Id="rId131" Type="http://schemas.openxmlformats.org/officeDocument/2006/relationships/hyperlink" Target="http://github.com/expertiza/expertiza/pull/1245/commits" TargetMode="External"/><Relationship Id="rId130" Type="http://schemas.openxmlformats.org/officeDocument/2006/relationships/hyperlink" Target="https://github.com/expertiza/expertiza/pull/1271" TargetMode="External"/><Relationship Id="rId136" Type="http://schemas.openxmlformats.org/officeDocument/2006/relationships/hyperlink" Target="https://github.com/expertiza/expertiza/pull/1266" TargetMode="External"/><Relationship Id="rId135" Type="http://schemas.openxmlformats.org/officeDocument/2006/relationships/hyperlink" Target="https://github.com/expertiza/expertiza/pull/1237" TargetMode="External"/><Relationship Id="rId134" Type="http://schemas.openxmlformats.org/officeDocument/2006/relationships/hyperlink" Target="https://github.com/expertiza/expertiza/pull/1234" TargetMode="External"/><Relationship Id="rId133" Type="http://schemas.openxmlformats.org/officeDocument/2006/relationships/hyperlink" Target="https://github.com/expertiza/expertiza/pull/1254" TargetMode="External"/><Relationship Id="rId62" Type="http://schemas.openxmlformats.org/officeDocument/2006/relationships/hyperlink" Target="https://expertiza.csc.ncsu.edu/index.php/CSC/ECE_517_Fall_2020_-_E2055_write_unit_tests_for_student_task.rb" TargetMode="External"/><Relationship Id="rId61" Type="http://schemas.openxmlformats.org/officeDocument/2006/relationships/hyperlink" Target="https://github.ncsu.edu/nkashya/Account_Request_Project_OODD/projects/1" TargetMode="External"/><Relationship Id="rId64" Type="http://schemas.openxmlformats.org/officeDocument/2006/relationships/hyperlink" Target="https://piazza.com/class/kdb3ysswq283em?cid=323" TargetMode="External"/><Relationship Id="rId63" Type="http://schemas.openxmlformats.org/officeDocument/2006/relationships/hyperlink" Target="https://expertiza.csc.ncsu.edu/index.php/CSC/ECE_517_Fall_2020_-_E2054._Auto_generate_submission_directory_names_based_on_assignment_names" TargetMode="External"/><Relationship Id="rId66" Type="http://schemas.openxmlformats.org/officeDocument/2006/relationships/hyperlink" Target="https://github.com/expertiza/expertiza/pull/1725" TargetMode="External"/><Relationship Id="rId172" Type="http://schemas.openxmlformats.org/officeDocument/2006/relationships/hyperlink" Target="http://www.youtube.com/watch?v=bvEk7yzCpDs" TargetMode="External"/><Relationship Id="rId65" Type="http://schemas.openxmlformats.org/officeDocument/2006/relationships/hyperlink" Target="https://expertiza.csc.ncsu.edu/index.php/CSC/ECE_517_Fall_2020_-_E2052._Remove_multiple_topics_at_a_time" TargetMode="External"/><Relationship Id="rId171" Type="http://schemas.openxmlformats.org/officeDocument/2006/relationships/hyperlink" Target="https://github.com/expertiza/expertiza/pull/239" TargetMode="External"/><Relationship Id="rId68" Type="http://schemas.openxmlformats.org/officeDocument/2006/relationships/hyperlink" Target="http://expertiza.csc.ncsu.edu/index.php/CSC/ECE_517_Spring_2020_-_E2015._Conflict_notification" TargetMode="External"/><Relationship Id="rId170" Type="http://schemas.openxmlformats.org/officeDocument/2006/relationships/hyperlink" Target="http://wiki.expertiza.ncsu.edu/index.php/CSC/ECE_517_Spring_2013/OSS_E600" TargetMode="External"/><Relationship Id="rId67" Type="http://schemas.openxmlformats.org/officeDocument/2006/relationships/hyperlink" Target="https://expertiza.csc.ncsu.edu/index.php/CSC/ECE_517_Spring_2020_-_E2021._Allow_reviewers_to_bid_on_what_to_review" TargetMode="External"/><Relationship Id="rId60" Type="http://schemas.openxmlformats.org/officeDocument/2006/relationships/hyperlink" Target="http://152.7.99.140:8080/" TargetMode="External"/><Relationship Id="rId165" Type="http://schemas.openxmlformats.org/officeDocument/2006/relationships/hyperlink" Target="https://github.com/mdjayaprakash/expertiza/tree/Penalty-Wizard" TargetMode="External"/><Relationship Id="rId69" Type="http://schemas.openxmlformats.org/officeDocument/2006/relationships/hyperlink" Target="https://github.com/expertiza/expertiza/pull/1712" TargetMode="External"/><Relationship Id="rId164" Type="http://schemas.openxmlformats.org/officeDocument/2006/relationships/hyperlink" Target="http://www.youtube.com/watch?v=0JqyE4Cicko" TargetMode="External"/><Relationship Id="rId163" Type="http://schemas.openxmlformats.org/officeDocument/2006/relationships/hyperlink" Target="http://wiki.expertiza.ncsu.edu/index.php/CSC/ECE_517_Spring_2014/oss_E1401_lmn" TargetMode="External"/><Relationship Id="rId162" Type="http://schemas.openxmlformats.org/officeDocument/2006/relationships/hyperlink" Target="http://wiki.expertiza.ncsu.edu/index.php/CSC/ECE_517_Spring_2014/oss_E1402_mmb" TargetMode="External"/><Relationship Id="rId169" Type="http://schemas.openxmlformats.org/officeDocument/2006/relationships/hyperlink" Target="http://wiki.expertiza.ncsu.edu/index.php/CSC/ECE_517_Spring_2013/OSS_E629" TargetMode="External"/><Relationship Id="rId168" Type="http://schemas.openxmlformats.org/officeDocument/2006/relationships/hyperlink" Target="http://152.46.19.82:3000/" TargetMode="External"/><Relationship Id="rId167" Type="http://schemas.openxmlformats.org/officeDocument/2006/relationships/hyperlink" Target="https://docs.google.com/a/ncsu.edu/document/d/1ewB2i141xuAsYfjcW6KvcsJR10YvtMJ6YF0A_ueOznQ/edit" TargetMode="External"/><Relationship Id="rId166" Type="http://schemas.openxmlformats.org/officeDocument/2006/relationships/hyperlink" Target="https://app.box.com/s/9580xx5czsxwv986pu64" TargetMode="External"/><Relationship Id="rId51" Type="http://schemas.openxmlformats.org/officeDocument/2006/relationships/hyperlink" Target="http://152.7.98.81:8080/" TargetMode="External"/><Relationship Id="rId50" Type="http://schemas.openxmlformats.org/officeDocument/2006/relationships/hyperlink" Target="https://github.com/expertiza/expertiza/pull/1768" TargetMode="External"/><Relationship Id="rId53" Type="http://schemas.openxmlformats.org/officeDocument/2006/relationships/hyperlink" Target="https://expertiza.csc.ncsu.edu/index.php/CSC/ECE_517_Fall_2020_-_E2066._Refactor_lottery_controller.rb" TargetMode="External"/><Relationship Id="rId52" Type="http://schemas.openxmlformats.org/officeDocument/2006/relationships/hyperlink" Target="https://github.com/ianyehwork/expertiza" TargetMode="External"/><Relationship Id="rId55" Type="http://schemas.openxmlformats.org/officeDocument/2006/relationships/hyperlink" Target="https://expertiza.csc.ncsu.edu/index.php/CSC/ECE_517_Fall_2020_-_E2063._Refactor_tree-display.js_and_tree_display_controller.rb" TargetMode="External"/><Relationship Id="rId161" Type="http://schemas.openxmlformats.org/officeDocument/2006/relationships/hyperlink" Target="http://wiki.expertiza.ncsu.edu/index.php/CSC/ECE_517_Spring_2014/oss_E1404_mnp" TargetMode="External"/><Relationship Id="rId54" Type="http://schemas.openxmlformats.org/officeDocument/2006/relationships/hyperlink" Target="https://expertiza.csc.ncsu.edu/index.php/CSC/ECE_517_Fall_2020_-_E2065._Fix_view_in_student_task/list_page" TargetMode="External"/><Relationship Id="rId160" Type="http://schemas.openxmlformats.org/officeDocument/2006/relationships/hyperlink" Target="http://wiki.expertiza.ncsu.edu/index.php/CSC/ECE_517_Spring_2014/oss_E1406_st" TargetMode="External"/><Relationship Id="rId57" Type="http://schemas.openxmlformats.org/officeDocument/2006/relationships/hyperlink" Target="https://expertiza.csc.ncsu.edu/index.php/CSC/ECE_517_Fall_2020_-_E2060._Review_report_should_link_to_the_usual_view_for_reviews" TargetMode="External"/><Relationship Id="rId56" Type="http://schemas.openxmlformats.org/officeDocument/2006/relationships/hyperlink" Target="https://expertiza.csc.ncsu.edu/index.php/CSC/ECE_517_Fall_2020_-_E2062._Add_test_cases_to_review_mapping_helper.rb" TargetMode="External"/><Relationship Id="rId159" Type="http://schemas.openxmlformats.org/officeDocument/2006/relationships/hyperlink" Target="http://wiki.expertiza.ncsu.edu/index.php/CSC/ECE_517_Spring_2014/final_doc_updated_qyx" TargetMode="External"/><Relationship Id="rId59" Type="http://schemas.openxmlformats.org/officeDocument/2006/relationships/hyperlink" Target="https://expertiza.csc.ncsu.edu/index.php/CSC/ECE_517_Fall_2020_-_E2058._Two_issues_related_to_assignment_management" TargetMode="External"/><Relationship Id="rId154" Type="http://schemas.openxmlformats.org/officeDocument/2006/relationships/hyperlink" Target="https://docs.google.com/document/d/1M8NSwTErZyfBjB5rHtmsV5JAY3bjWlFt6rfhOxHNLsI/edit" TargetMode="External"/><Relationship Id="rId58" Type="http://schemas.openxmlformats.org/officeDocument/2006/relationships/hyperlink" Target="https://github.com/expertiza/expertiza/pull/1809" TargetMode="External"/><Relationship Id="rId153" Type="http://schemas.openxmlformats.org/officeDocument/2006/relationships/hyperlink" Target="http://wiki.expertiza.ncsu.edu/index.php/CSC/ECE_517_Spring_2017/E1724" TargetMode="External"/><Relationship Id="rId152" Type="http://schemas.openxmlformats.org/officeDocument/2006/relationships/hyperlink" Target="http://wiki.expertiza.ncsu.edu/index.php/CSC/ECE_517_Spring_2017/finalproject_E1744" TargetMode="External"/><Relationship Id="rId151" Type="http://schemas.openxmlformats.org/officeDocument/2006/relationships/hyperlink" Target="https://docs.google.com/document/d/1rVALHhgVD_nedNxpI7Pa6heMOldwXdLSNVEBuLADZJ4" TargetMode="External"/><Relationship Id="rId158" Type="http://schemas.openxmlformats.org/officeDocument/2006/relationships/hyperlink" Target="https://drive.google.com/file/d/0Bwl4erOZvgJCc3lPMjJKRXI1S3M/edit?usp=sharing" TargetMode="External"/><Relationship Id="rId157" Type="http://schemas.openxmlformats.org/officeDocument/2006/relationships/hyperlink" Target="http://wiki.expertiza.ncsu.edu/index.php/CSC/ECE_517_Spring_2015_E1525_TIAA" TargetMode="External"/><Relationship Id="rId156" Type="http://schemas.openxmlformats.org/officeDocument/2006/relationships/hyperlink" Target="https://github.com/expertiza/expertiza/pull/666" TargetMode="External"/><Relationship Id="rId155" Type="http://schemas.openxmlformats.org/officeDocument/2006/relationships/hyperlink" Target="http://wiki.expertiza.ncsu.edu/index.php/CSC/ECE_517_Spring_2016_E1631_Team-based_reviewing" TargetMode="External"/><Relationship Id="rId107" Type="http://schemas.openxmlformats.org/officeDocument/2006/relationships/hyperlink" Target="https://github.com/peerlogic/IntelligentAssignment/pull/2" TargetMode="External"/><Relationship Id="rId106" Type="http://schemas.openxmlformats.org/officeDocument/2006/relationships/hyperlink" Target="https://github.com/expertiza/expertiza/pull/1303" TargetMode="External"/><Relationship Id="rId105" Type="http://schemas.openxmlformats.org/officeDocument/2006/relationships/hyperlink" Target="https://github.com/expertiza/expertiza/pull/1306" TargetMode="External"/><Relationship Id="rId104" Type="http://schemas.openxmlformats.org/officeDocument/2006/relationships/hyperlink" Target="https://github.com/expertiza/expertiza/pull/1328" TargetMode="External"/><Relationship Id="rId109" Type="http://schemas.openxmlformats.org/officeDocument/2006/relationships/hyperlink" Target="https://github.com/expertiza/expertiza/pull/1326" TargetMode="External"/><Relationship Id="rId108" Type="http://schemas.openxmlformats.org/officeDocument/2006/relationships/hyperlink" Target="https://www.youtube.com/watch?v=3PJAYU9b81g" TargetMode="External"/><Relationship Id="rId103" Type="http://schemas.openxmlformats.org/officeDocument/2006/relationships/hyperlink" Target="https://github.com/expertiza/expertiza/pull/1312" TargetMode="External"/><Relationship Id="rId102" Type="http://schemas.openxmlformats.org/officeDocument/2006/relationships/hyperlink" Target="https://github.com/expertiza/expertiza/pull/1329" TargetMode="External"/><Relationship Id="rId101" Type="http://schemas.openxmlformats.org/officeDocument/2006/relationships/hyperlink" Target="https://github.com/expertiza/expertiza/pull/1286" TargetMode="External"/><Relationship Id="rId100" Type="http://schemas.openxmlformats.org/officeDocument/2006/relationships/hyperlink" Target="https://github.com/expertiza/expertiza/pull/1291" TargetMode="External"/><Relationship Id="rId129" Type="http://schemas.openxmlformats.org/officeDocument/2006/relationships/hyperlink" Target="https://github.com/expertiza/expertiza/pull/1242" TargetMode="External"/><Relationship Id="rId128" Type="http://schemas.openxmlformats.org/officeDocument/2006/relationships/hyperlink" Target="https://github.com/expertiza/expertiza/pull/1241" TargetMode="External"/><Relationship Id="rId127" Type="http://schemas.openxmlformats.org/officeDocument/2006/relationships/hyperlink" Target="https://github.com/expertiza/expertiza/pull/1263" TargetMode="External"/><Relationship Id="rId126" Type="http://schemas.openxmlformats.org/officeDocument/2006/relationships/hyperlink" Target="https://github.com/expertiza/expertiza/pull/1276" TargetMode="External"/><Relationship Id="rId121" Type="http://schemas.openxmlformats.org/officeDocument/2006/relationships/hyperlink" Target="http://wiki.expertiza.ncsu.edu/index.php/CSC/ECE_517_Fall_2018-_Project_E1848:_Writing_unit_tests_for_assignment_team.rb" TargetMode="External"/><Relationship Id="rId120" Type="http://schemas.openxmlformats.org/officeDocument/2006/relationships/hyperlink" Target="http://wiki.expertiza.ncsu.edu/index.php/CSC/ECE_517_Fall_2018/OSS_E1848_Write_unit_tests_for_assignment_team.rb" TargetMode="External"/><Relationship Id="rId125" Type="http://schemas.openxmlformats.org/officeDocument/2006/relationships/hyperlink" Target="http://github.com/expertiza/expertiza/pull/1250" TargetMode="External"/><Relationship Id="rId124" Type="http://schemas.openxmlformats.org/officeDocument/2006/relationships/hyperlink" Target="https://github.com/expertiza/expertiza/pull/1270" TargetMode="External"/><Relationship Id="rId123" Type="http://schemas.openxmlformats.org/officeDocument/2006/relationships/hyperlink" Target="https://github.com/expertiza/expertiza/pull/1257" TargetMode="External"/><Relationship Id="rId122" Type="http://schemas.openxmlformats.org/officeDocument/2006/relationships/hyperlink" Target="https://github.com/expertiza/expertiza/pull/1225" TargetMode="External"/><Relationship Id="rId95" Type="http://schemas.openxmlformats.org/officeDocument/2006/relationships/hyperlink" Target="https://github.com/expertiza/expertiza/pull/1308" TargetMode="External"/><Relationship Id="rId94" Type="http://schemas.openxmlformats.org/officeDocument/2006/relationships/hyperlink" Target="https://expertiza.csc.ncsu.edu/index.php/CSC/ECE_517_Fall_2018/E1879_Student_Generated_Questions_Added_To_Rubric" TargetMode="External"/><Relationship Id="rId97" Type="http://schemas.openxmlformats.org/officeDocument/2006/relationships/hyperlink" Target="https://github.com/expertiza/expertiza/pull/1313" TargetMode="External"/><Relationship Id="rId96" Type="http://schemas.openxmlformats.org/officeDocument/2006/relationships/hyperlink" Target="https://github.com/expertiza/expertiza/pull/1309" TargetMode="External"/><Relationship Id="rId99" Type="http://schemas.openxmlformats.org/officeDocument/2006/relationships/hyperlink" Target="https://github.com/expertiza/expertiza/pull/1307" TargetMode="External"/><Relationship Id="rId98" Type="http://schemas.openxmlformats.org/officeDocument/2006/relationships/hyperlink" Target="https://github.com/expertiza/expertiza/pull/1297" TargetMode="External"/><Relationship Id="rId91" Type="http://schemas.openxmlformats.org/officeDocument/2006/relationships/hyperlink" Target="https://github.com/expertiza/expertiza/pull/1461" TargetMode="External"/><Relationship Id="rId90" Type="http://schemas.openxmlformats.org/officeDocument/2006/relationships/hyperlink" Target="https://github.com/expertiza/expertiza/pull/1455" TargetMode="External"/><Relationship Id="rId93" Type="http://schemas.openxmlformats.org/officeDocument/2006/relationships/hyperlink" Target="https://expertiza.csc.ncsu.edu/index.php/E1904_Issues_related_to_topic_deadlines" TargetMode="External"/><Relationship Id="rId92" Type="http://schemas.openxmlformats.org/officeDocument/2006/relationships/hyperlink" Target="https://github.com/expertiza/expertiza/pull/1364" TargetMode="External"/><Relationship Id="rId118" Type="http://schemas.openxmlformats.org/officeDocument/2006/relationships/hyperlink" Target="https://github.com/expertiza/expertiza/pull/1238" TargetMode="External"/><Relationship Id="rId117" Type="http://schemas.openxmlformats.org/officeDocument/2006/relationships/hyperlink" Target="https://drive.google.com/file/d/18vr3q2dCyh3_tsFLH8w9y6Y9uhdz0Ljj/view?usp=sharing" TargetMode="External"/><Relationship Id="rId116" Type="http://schemas.openxmlformats.org/officeDocument/2006/relationships/hyperlink" Target="https://github.com/expertiza/expertiza/pull/1277" TargetMode="External"/><Relationship Id="rId115" Type="http://schemas.openxmlformats.org/officeDocument/2006/relationships/hyperlink" Target="https://expertiza.csc.ncsu.edu/index.php/OSS_E1852.rb" TargetMode="External"/><Relationship Id="rId119" Type="http://schemas.openxmlformats.org/officeDocument/2006/relationships/hyperlink" Target="http://wiki.expertiza.ncsu.edu/index.php/E1848_Write_unit_tests_for_assignment_team" TargetMode="External"/><Relationship Id="rId110" Type="http://schemas.openxmlformats.org/officeDocument/2006/relationships/hyperlink" Target="https://expertiza.csc.ncsu.edu/index.php/E1853_Menu_Model_Testing" TargetMode="External"/><Relationship Id="rId114" Type="http://schemas.openxmlformats.org/officeDocument/2006/relationships/hyperlink" Target="https://expertiza.csc.ncsu.edu/index.php/CSC/ECE_517_Fall_2018_-_Project_E1852_Write_unit_tests_for_participant.rb" TargetMode="External"/><Relationship Id="rId113" Type="http://schemas.openxmlformats.org/officeDocument/2006/relationships/hyperlink" Target="https://expertiza.csc.ncsu.edu/index.php/CSC/ECE_517_Fall_2018/E1852_Unit_Test_for_Participant_Model" TargetMode="External"/><Relationship Id="rId112" Type="http://schemas.openxmlformats.org/officeDocument/2006/relationships/hyperlink" Target="https://expertiza.csc.ncsu.edu/index.php/E1853_write_unit_tests_for_menu" TargetMode="External"/><Relationship Id="rId111" Type="http://schemas.openxmlformats.org/officeDocument/2006/relationships/hyperlink" Target="http://wiki.expertiza.ncsu.edu/index.php/CSC/ECE_517_Fall_2018/E1853_Write_unit_tests_for_menu.r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expertiza/expertiza/pull/816" TargetMode="External"/><Relationship Id="rId190" Type="http://schemas.openxmlformats.org/officeDocument/2006/relationships/hyperlink" Target="https://github.com/expertiza/expertiza/pull/469" TargetMode="External"/><Relationship Id="rId42" Type="http://schemas.openxmlformats.org/officeDocument/2006/relationships/hyperlink" Target="https://github.com/expertiza/expertiza/pull/788" TargetMode="External"/><Relationship Id="rId41" Type="http://schemas.openxmlformats.org/officeDocument/2006/relationships/hyperlink" Target="https://github.com/expertiza/expertiza/pull/794" TargetMode="External"/><Relationship Id="rId44" Type="http://schemas.openxmlformats.org/officeDocument/2006/relationships/hyperlink" Target="https://github.com/expertiza/expertiza/pull/781" TargetMode="External"/><Relationship Id="rId194" Type="http://schemas.openxmlformats.org/officeDocument/2006/relationships/hyperlink" Target="https://github.com/expertiza/expertiza/pull/464" TargetMode="External"/><Relationship Id="rId43" Type="http://schemas.openxmlformats.org/officeDocument/2006/relationships/hyperlink" Target="https://github.com/expertiza/expertiza/pull/777" TargetMode="External"/><Relationship Id="rId193" Type="http://schemas.openxmlformats.org/officeDocument/2006/relationships/hyperlink" Target="https://github.com/expertiza/expertiza/pull/471" TargetMode="External"/><Relationship Id="rId46" Type="http://schemas.openxmlformats.org/officeDocument/2006/relationships/hyperlink" Target="https://github.com/expertiza/expertiza/pull/810" TargetMode="External"/><Relationship Id="rId192" Type="http://schemas.openxmlformats.org/officeDocument/2006/relationships/hyperlink" Target="https://github.com/expertiza/expertiza/pull/460" TargetMode="External"/><Relationship Id="rId45" Type="http://schemas.openxmlformats.org/officeDocument/2006/relationships/hyperlink" Target="https://github.com/expertiza/expertiza/pull/799" TargetMode="External"/><Relationship Id="rId191" Type="http://schemas.openxmlformats.org/officeDocument/2006/relationships/hyperlink" Target="https://github.com/expertiza/expertiza/pull/461" TargetMode="External"/><Relationship Id="rId48" Type="http://schemas.openxmlformats.org/officeDocument/2006/relationships/hyperlink" Target="https://github.com/expertiza/expertiza/pull/786" TargetMode="External"/><Relationship Id="rId187" Type="http://schemas.openxmlformats.org/officeDocument/2006/relationships/hyperlink" Target="https://github.com/expertiza/expertiza/pull/444" TargetMode="External"/><Relationship Id="rId47" Type="http://schemas.openxmlformats.org/officeDocument/2006/relationships/hyperlink" Target="https://github.com/expertiza/expertiza/pull/751" TargetMode="External"/><Relationship Id="rId186" Type="http://schemas.openxmlformats.org/officeDocument/2006/relationships/hyperlink" Target="https://github.com/expertiza/expertiza/pull/436" TargetMode="External"/><Relationship Id="rId185" Type="http://schemas.openxmlformats.org/officeDocument/2006/relationships/hyperlink" Target="https://github.com/expertiza/expertiza/pull/434" TargetMode="External"/><Relationship Id="rId49" Type="http://schemas.openxmlformats.org/officeDocument/2006/relationships/hyperlink" Target="https://github.com/expertiza/expertiza/pull/827" TargetMode="External"/><Relationship Id="rId184" Type="http://schemas.openxmlformats.org/officeDocument/2006/relationships/hyperlink" Target="https://github.com/expertiza/expertiza/pull/441" TargetMode="External"/><Relationship Id="rId189" Type="http://schemas.openxmlformats.org/officeDocument/2006/relationships/hyperlink" Target="https://github.com/expertiza/expertiza/pull/466" TargetMode="External"/><Relationship Id="rId188" Type="http://schemas.openxmlformats.org/officeDocument/2006/relationships/hyperlink" Target="https://github.com/expertiza/expertiza/pull/458" TargetMode="External"/><Relationship Id="rId31" Type="http://schemas.openxmlformats.org/officeDocument/2006/relationships/hyperlink" Target="https://github.com/expertiza/expertiza/pull/824" TargetMode="External"/><Relationship Id="rId30" Type="http://schemas.openxmlformats.org/officeDocument/2006/relationships/hyperlink" Target="https://github.com/expertiza/expertiza/pull/755" TargetMode="External"/><Relationship Id="rId33" Type="http://schemas.openxmlformats.org/officeDocument/2006/relationships/hyperlink" Target="https://github.com/expertiza/expertiza/pull/779" TargetMode="External"/><Relationship Id="rId183" Type="http://schemas.openxmlformats.org/officeDocument/2006/relationships/hyperlink" Target="https://github.com/expertiza/expertiza/pull/449" TargetMode="External"/><Relationship Id="rId32" Type="http://schemas.openxmlformats.org/officeDocument/2006/relationships/hyperlink" Target="https://github.com/expertiza/expertiza/pull/822" TargetMode="External"/><Relationship Id="rId182" Type="http://schemas.openxmlformats.org/officeDocument/2006/relationships/hyperlink" Target="https://github.com/expertiza/expertiza/pull/448" TargetMode="External"/><Relationship Id="rId35" Type="http://schemas.openxmlformats.org/officeDocument/2006/relationships/hyperlink" Target="https://github.com/expertiza/expertiza/pull/836" TargetMode="External"/><Relationship Id="rId181" Type="http://schemas.openxmlformats.org/officeDocument/2006/relationships/hyperlink" Target="https://github.com/expertiza/expertiza/pull/431" TargetMode="External"/><Relationship Id="rId34" Type="http://schemas.openxmlformats.org/officeDocument/2006/relationships/hyperlink" Target="https://github.com/expertiza/expertiza/pull/795" TargetMode="External"/><Relationship Id="rId180" Type="http://schemas.openxmlformats.org/officeDocument/2006/relationships/hyperlink" Target="https://github.com/expertiza/expertiza/pull/447" TargetMode="External"/><Relationship Id="rId37" Type="http://schemas.openxmlformats.org/officeDocument/2006/relationships/hyperlink" Target="https://github.com/expertiza/expertiza/pull/826" TargetMode="External"/><Relationship Id="rId176" Type="http://schemas.openxmlformats.org/officeDocument/2006/relationships/hyperlink" Target="https://github.com/expertiza/expertiza/pull/438" TargetMode="External"/><Relationship Id="rId36" Type="http://schemas.openxmlformats.org/officeDocument/2006/relationships/hyperlink" Target="https://github.com/expertiza/expertiza/pull/797" TargetMode="External"/><Relationship Id="rId175" Type="http://schemas.openxmlformats.org/officeDocument/2006/relationships/hyperlink" Target="https://github.com/expertiza/expertiza/pull/439" TargetMode="External"/><Relationship Id="rId39" Type="http://schemas.openxmlformats.org/officeDocument/2006/relationships/hyperlink" Target="https://github.com/expertiza/expertiza/pull/744" TargetMode="External"/><Relationship Id="rId174" Type="http://schemas.openxmlformats.org/officeDocument/2006/relationships/hyperlink" Target="https://github.com/expertiza/expertiza/pull/433" TargetMode="External"/><Relationship Id="rId38" Type="http://schemas.openxmlformats.org/officeDocument/2006/relationships/hyperlink" Target="https://github.com/expertiza/expertiza/pull/803" TargetMode="External"/><Relationship Id="rId173" Type="http://schemas.openxmlformats.org/officeDocument/2006/relationships/hyperlink" Target="https://github.com/expertiza/expertiza/pull/443" TargetMode="External"/><Relationship Id="rId179" Type="http://schemas.openxmlformats.org/officeDocument/2006/relationships/hyperlink" Target="https://github.com/expertiza/expertiza/pull/442" TargetMode="External"/><Relationship Id="rId178" Type="http://schemas.openxmlformats.org/officeDocument/2006/relationships/hyperlink" Target="https://github.com/expertiza/expertiza/pull/435" TargetMode="External"/><Relationship Id="rId177" Type="http://schemas.openxmlformats.org/officeDocument/2006/relationships/hyperlink" Target="https://github.com/expertiza/expertiza/pull/446" TargetMode="External"/><Relationship Id="rId20" Type="http://schemas.openxmlformats.org/officeDocument/2006/relationships/hyperlink" Target="https://github.com/expertiza/expertiza/pull/947" TargetMode="External"/><Relationship Id="rId22" Type="http://schemas.openxmlformats.org/officeDocument/2006/relationships/hyperlink" Target="https://github.com/expertiza/expertiza/pull/949" TargetMode="External"/><Relationship Id="rId21" Type="http://schemas.openxmlformats.org/officeDocument/2006/relationships/hyperlink" Target="https://github.com/expertiza/expertiza/pull/951" TargetMode="External"/><Relationship Id="rId24" Type="http://schemas.openxmlformats.org/officeDocument/2006/relationships/hyperlink" Target="https://github.com/expertiza/expertiza/pull/946" TargetMode="External"/><Relationship Id="rId23" Type="http://schemas.openxmlformats.org/officeDocument/2006/relationships/hyperlink" Target="https://github.com/expertiza/expertiza/pull/945" TargetMode="External"/><Relationship Id="rId26" Type="http://schemas.openxmlformats.org/officeDocument/2006/relationships/hyperlink" Target="https://github.com/expertiza/expertiza/pull/943" TargetMode="External"/><Relationship Id="rId25" Type="http://schemas.openxmlformats.org/officeDocument/2006/relationships/hyperlink" Target="https://github.com/expertiza/expertiza/pull/952" TargetMode="External"/><Relationship Id="rId28" Type="http://schemas.openxmlformats.org/officeDocument/2006/relationships/hyperlink" Target="https://github.com/expertiza/expertiza/pull/828" TargetMode="External"/><Relationship Id="rId27" Type="http://schemas.openxmlformats.org/officeDocument/2006/relationships/hyperlink" Target="https://github.com/expertiza/expertiza/pull/778" TargetMode="External"/><Relationship Id="rId29" Type="http://schemas.openxmlformats.org/officeDocument/2006/relationships/hyperlink" Target="https://github.com/expertiza/expertiza/pull/837" TargetMode="External"/><Relationship Id="rId11" Type="http://schemas.openxmlformats.org/officeDocument/2006/relationships/hyperlink" Target="https://github.com/expertiza/expertiza/pull/912" TargetMode="External"/><Relationship Id="rId10" Type="http://schemas.openxmlformats.org/officeDocument/2006/relationships/hyperlink" Target="https://github.com/expertiza/expertiza/pull/910" TargetMode="External"/><Relationship Id="rId13" Type="http://schemas.openxmlformats.org/officeDocument/2006/relationships/hyperlink" Target="https://github.com/expertiza/expertiza/pull/911" TargetMode="External"/><Relationship Id="rId12" Type="http://schemas.openxmlformats.org/officeDocument/2006/relationships/hyperlink" Target="https://github.com/expertiza/expertiza/pull/913" TargetMode="External"/><Relationship Id="rId15" Type="http://schemas.openxmlformats.org/officeDocument/2006/relationships/hyperlink" Target="https://github.com/expertiza/expertiza/pull/920" TargetMode="External"/><Relationship Id="rId198" Type="http://schemas.openxmlformats.org/officeDocument/2006/relationships/hyperlink" Target="https://github.com/expertiza/expertiza/pull/465" TargetMode="External"/><Relationship Id="rId14" Type="http://schemas.openxmlformats.org/officeDocument/2006/relationships/hyperlink" Target="https://github.com/expertiza/expertiza/pull/915" TargetMode="External"/><Relationship Id="rId197" Type="http://schemas.openxmlformats.org/officeDocument/2006/relationships/hyperlink" Target="https://github.com/expertiza/expertiza/pull/457" TargetMode="External"/><Relationship Id="rId17" Type="http://schemas.openxmlformats.org/officeDocument/2006/relationships/hyperlink" Target="https://github.com/expertiza/expertiza/pull/954" TargetMode="External"/><Relationship Id="rId196" Type="http://schemas.openxmlformats.org/officeDocument/2006/relationships/hyperlink" Target="https://github.com/expertiza/expertiza/pull/468" TargetMode="External"/><Relationship Id="rId16" Type="http://schemas.openxmlformats.org/officeDocument/2006/relationships/hyperlink" Target="https://github.com/expertiza/expertiza/pull/944" TargetMode="External"/><Relationship Id="rId195" Type="http://schemas.openxmlformats.org/officeDocument/2006/relationships/hyperlink" Target="https://github.com/expertiza/expertiza/pull/462" TargetMode="External"/><Relationship Id="rId19" Type="http://schemas.openxmlformats.org/officeDocument/2006/relationships/hyperlink" Target="https://github.com/expertiza/expertiza/pull/948" TargetMode="External"/><Relationship Id="rId18" Type="http://schemas.openxmlformats.org/officeDocument/2006/relationships/hyperlink" Target="https://github.com/expertiza/expertiza/pull/937" TargetMode="External"/><Relationship Id="rId199" Type="http://schemas.openxmlformats.org/officeDocument/2006/relationships/hyperlink" Target="https://github.com/expertiza/expertiza/pull/412" TargetMode="External"/><Relationship Id="rId84" Type="http://schemas.openxmlformats.org/officeDocument/2006/relationships/hyperlink" Target="https://github.com/expertiza/expertiza/pull/873" TargetMode="External"/><Relationship Id="rId83" Type="http://schemas.openxmlformats.org/officeDocument/2006/relationships/hyperlink" Target="https://github.com/expertiza/expertiza/pull/855" TargetMode="External"/><Relationship Id="rId86" Type="http://schemas.openxmlformats.org/officeDocument/2006/relationships/hyperlink" Target="https://github.com/expertiza/expertiza/pull/890" TargetMode="External"/><Relationship Id="rId85" Type="http://schemas.openxmlformats.org/officeDocument/2006/relationships/hyperlink" Target="https://github.com/expertiza/expertiza/pull/866" TargetMode="External"/><Relationship Id="rId88" Type="http://schemas.openxmlformats.org/officeDocument/2006/relationships/hyperlink" Target="https://github.com/expertiza/expertiza/pull/864" TargetMode="External"/><Relationship Id="rId150" Type="http://schemas.openxmlformats.org/officeDocument/2006/relationships/hyperlink" Target="https://github.com/expertiza/expertiza/pull/635" TargetMode="External"/><Relationship Id="rId87" Type="http://schemas.openxmlformats.org/officeDocument/2006/relationships/hyperlink" Target="https://github.com/expertiza/expertiza/pull/891" TargetMode="External"/><Relationship Id="rId89" Type="http://schemas.openxmlformats.org/officeDocument/2006/relationships/hyperlink" Target="https://github.com/expertiza/expertiza/pull/868" TargetMode="External"/><Relationship Id="rId80" Type="http://schemas.openxmlformats.org/officeDocument/2006/relationships/hyperlink" Target="https://github.com/expertiza/expertiza/pull/882" TargetMode="External"/><Relationship Id="rId82" Type="http://schemas.openxmlformats.org/officeDocument/2006/relationships/hyperlink" Target="https://github.com/expertiza/expertiza/pull/854" TargetMode="External"/><Relationship Id="rId81" Type="http://schemas.openxmlformats.org/officeDocument/2006/relationships/hyperlink" Target="https://github.com/expertiza/expertiza/pull/880" TargetMode="External"/><Relationship Id="rId1" Type="http://schemas.openxmlformats.org/officeDocument/2006/relationships/hyperlink" Target="https://github.com/expertiza/expertiza/pull/925" TargetMode="External"/><Relationship Id="rId2" Type="http://schemas.openxmlformats.org/officeDocument/2006/relationships/hyperlink" Target="https://github.com/expertiza/expertiza/pull/922" TargetMode="External"/><Relationship Id="rId3" Type="http://schemas.openxmlformats.org/officeDocument/2006/relationships/hyperlink" Target="https://github.com/expertiza/expertiza/pull/930" TargetMode="External"/><Relationship Id="rId149" Type="http://schemas.openxmlformats.org/officeDocument/2006/relationships/hyperlink" Target="https://github.com/expertiza/expertiza/pull/643" TargetMode="External"/><Relationship Id="rId4" Type="http://schemas.openxmlformats.org/officeDocument/2006/relationships/hyperlink" Target="https://github.com/expertiza/expertiza/pull/916" TargetMode="External"/><Relationship Id="rId148" Type="http://schemas.openxmlformats.org/officeDocument/2006/relationships/hyperlink" Target="https://github.com/expertiza/expertiza/pull/638" TargetMode="External"/><Relationship Id="rId9" Type="http://schemas.openxmlformats.org/officeDocument/2006/relationships/hyperlink" Target="https://github.com/expertiza/expertiza/pull/917" TargetMode="External"/><Relationship Id="rId143" Type="http://schemas.openxmlformats.org/officeDocument/2006/relationships/hyperlink" Target="https://github.com/expertiza/expertiza/pull/637" TargetMode="External"/><Relationship Id="rId142" Type="http://schemas.openxmlformats.org/officeDocument/2006/relationships/hyperlink" Target="https://github.com/expertiza/expertiza/pull/636" TargetMode="External"/><Relationship Id="rId141" Type="http://schemas.openxmlformats.org/officeDocument/2006/relationships/hyperlink" Target="https://github.com/expertiza/expertiza/pull/629" TargetMode="External"/><Relationship Id="rId140" Type="http://schemas.openxmlformats.org/officeDocument/2006/relationships/hyperlink" Target="https://github.com/expertiza/expertiza/pull/615" TargetMode="External"/><Relationship Id="rId5" Type="http://schemas.openxmlformats.org/officeDocument/2006/relationships/hyperlink" Target="https://github.com/expertiza/expertiza/pull/923" TargetMode="External"/><Relationship Id="rId147" Type="http://schemas.openxmlformats.org/officeDocument/2006/relationships/hyperlink" Target="https://github.com/expertiza/expertiza/pull/642" TargetMode="External"/><Relationship Id="rId6" Type="http://schemas.openxmlformats.org/officeDocument/2006/relationships/hyperlink" Target="https://github.com/expertiza/expertiza/pull/924" TargetMode="External"/><Relationship Id="rId146" Type="http://schemas.openxmlformats.org/officeDocument/2006/relationships/hyperlink" Target="https://github.com/expertiza/expertiza/pull/640" TargetMode="External"/><Relationship Id="rId7" Type="http://schemas.openxmlformats.org/officeDocument/2006/relationships/hyperlink" Target="https://github.com/expertiza/expertiza/pull/931" TargetMode="External"/><Relationship Id="rId145" Type="http://schemas.openxmlformats.org/officeDocument/2006/relationships/hyperlink" Target="https://github.com/expertiza/expertiza/pull/641" TargetMode="External"/><Relationship Id="rId8" Type="http://schemas.openxmlformats.org/officeDocument/2006/relationships/hyperlink" Target="https://github.com/expertiza/expertiza/pull/921" TargetMode="External"/><Relationship Id="rId144" Type="http://schemas.openxmlformats.org/officeDocument/2006/relationships/hyperlink" Target="https://github.com/expertiza/expertiza/pull/632" TargetMode="External"/><Relationship Id="rId73" Type="http://schemas.openxmlformats.org/officeDocument/2006/relationships/hyperlink" Target="https://github.com/expertiza/expertiza/pull/888" TargetMode="External"/><Relationship Id="rId72" Type="http://schemas.openxmlformats.org/officeDocument/2006/relationships/hyperlink" Target="https://github.com/expertiza/expertiza/pull/878" TargetMode="External"/><Relationship Id="rId75" Type="http://schemas.openxmlformats.org/officeDocument/2006/relationships/hyperlink" Target="https://github.com/expertiza/expertiza/pull/894" TargetMode="External"/><Relationship Id="rId74" Type="http://schemas.openxmlformats.org/officeDocument/2006/relationships/hyperlink" Target="https://github.com/expertiza/expertiza/pull/886" TargetMode="External"/><Relationship Id="rId77" Type="http://schemas.openxmlformats.org/officeDocument/2006/relationships/hyperlink" Target="https://github.com/expertiza/expertiza/pull/874" TargetMode="External"/><Relationship Id="rId76" Type="http://schemas.openxmlformats.org/officeDocument/2006/relationships/hyperlink" Target="https://github.com/expertiza/expertiza/pull/859" TargetMode="External"/><Relationship Id="rId79" Type="http://schemas.openxmlformats.org/officeDocument/2006/relationships/hyperlink" Target="https://github.com/expertiza/expertiza/pull/867" TargetMode="External"/><Relationship Id="rId78" Type="http://schemas.openxmlformats.org/officeDocument/2006/relationships/hyperlink" Target="https://github.com/expertiza/expertiza/pull/869" TargetMode="External"/><Relationship Id="rId71" Type="http://schemas.openxmlformats.org/officeDocument/2006/relationships/hyperlink" Target="https://github.com/expertiza/expertiza/pull/858" TargetMode="External"/><Relationship Id="rId70" Type="http://schemas.openxmlformats.org/officeDocument/2006/relationships/hyperlink" Target="https://github.com/expertiza/expertiza/pull/851" TargetMode="External"/><Relationship Id="rId139" Type="http://schemas.openxmlformats.org/officeDocument/2006/relationships/hyperlink" Target="https://github.com/expertiza/expertiza/pull/616" TargetMode="External"/><Relationship Id="rId138" Type="http://schemas.openxmlformats.org/officeDocument/2006/relationships/hyperlink" Target="https://github.com/expertiza/expertiza/pull/608" TargetMode="External"/><Relationship Id="rId137" Type="http://schemas.openxmlformats.org/officeDocument/2006/relationships/hyperlink" Target="https://github.com/expertiza/expertiza/pull/587" TargetMode="External"/><Relationship Id="rId132" Type="http://schemas.openxmlformats.org/officeDocument/2006/relationships/hyperlink" Target="https://github.com/expertiza/expertiza/pull/599" TargetMode="External"/><Relationship Id="rId253" Type="http://schemas.openxmlformats.org/officeDocument/2006/relationships/drawing" Target="../drawings/drawing3.xml"/><Relationship Id="rId131" Type="http://schemas.openxmlformats.org/officeDocument/2006/relationships/hyperlink" Target="https://github.com/expertiza/expertiza/pull/596" TargetMode="External"/><Relationship Id="rId252" Type="http://schemas.openxmlformats.org/officeDocument/2006/relationships/hyperlink" Target="https://github.com/expertiza/expertiza/pull/229" TargetMode="External"/><Relationship Id="rId130" Type="http://schemas.openxmlformats.org/officeDocument/2006/relationships/hyperlink" Target="https://github.com/expertiza/expertiza/pull/610" TargetMode="External"/><Relationship Id="rId251" Type="http://schemas.openxmlformats.org/officeDocument/2006/relationships/hyperlink" Target="https://github.com/expertiza/expertiza/pull/239" TargetMode="External"/><Relationship Id="rId250" Type="http://schemas.openxmlformats.org/officeDocument/2006/relationships/hyperlink" Target="https://github.com/expertiza/expertiza/pull/300" TargetMode="External"/><Relationship Id="rId136" Type="http://schemas.openxmlformats.org/officeDocument/2006/relationships/hyperlink" Target="https://github.com/expertiza/expertiza/pull/592" TargetMode="External"/><Relationship Id="rId135" Type="http://schemas.openxmlformats.org/officeDocument/2006/relationships/hyperlink" Target="https://github.com/expertiza/expertiza/pull/591" TargetMode="External"/><Relationship Id="rId134" Type="http://schemas.openxmlformats.org/officeDocument/2006/relationships/hyperlink" Target="https://github.com/expertiza/expertiza/pull/584" TargetMode="External"/><Relationship Id="rId133" Type="http://schemas.openxmlformats.org/officeDocument/2006/relationships/hyperlink" Target="https://github.com/expertiza/expertiza/pull/609" TargetMode="External"/><Relationship Id="rId62" Type="http://schemas.openxmlformats.org/officeDocument/2006/relationships/hyperlink" Target="https://github.com/expertiza/expertiza/pull/792" TargetMode="External"/><Relationship Id="rId61" Type="http://schemas.openxmlformats.org/officeDocument/2006/relationships/hyperlink" Target="https://github.com/expertiza/expertiza/pull/765" TargetMode="External"/><Relationship Id="rId64" Type="http://schemas.openxmlformats.org/officeDocument/2006/relationships/hyperlink" Target="https://github.com/expertiza/expertiza/pull/800" TargetMode="External"/><Relationship Id="rId63" Type="http://schemas.openxmlformats.org/officeDocument/2006/relationships/hyperlink" Target="https://github.com/expertiza/expertiza/pull/819" TargetMode="External"/><Relationship Id="rId66" Type="http://schemas.openxmlformats.org/officeDocument/2006/relationships/hyperlink" Target="https://github.com/expertiza/expertiza/pull/791" TargetMode="External"/><Relationship Id="rId172" Type="http://schemas.openxmlformats.org/officeDocument/2006/relationships/hyperlink" Target="https://github.com/expertiza/expertiza/pull/451" TargetMode="External"/><Relationship Id="rId65" Type="http://schemas.openxmlformats.org/officeDocument/2006/relationships/hyperlink" Target="https://github.com/expertiza/expertiza/pull/832" TargetMode="External"/><Relationship Id="rId171" Type="http://schemas.openxmlformats.org/officeDocument/2006/relationships/hyperlink" Target="https://github.com/expertiza/expertiza/pull/459" TargetMode="External"/><Relationship Id="rId68" Type="http://schemas.openxmlformats.org/officeDocument/2006/relationships/hyperlink" Target="https://github.com/expertiza/expertiza/pull/860" TargetMode="External"/><Relationship Id="rId170" Type="http://schemas.openxmlformats.org/officeDocument/2006/relationships/hyperlink" Target="https://github.com/expertiza/expertiza/pull/544" TargetMode="External"/><Relationship Id="rId67" Type="http://schemas.openxmlformats.org/officeDocument/2006/relationships/hyperlink" Target="https://github.com/expertiza/expertiza/pull/782" TargetMode="External"/><Relationship Id="rId60" Type="http://schemas.openxmlformats.org/officeDocument/2006/relationships/hyperlink" Target="https://github.com/expertiza/expertiza/pull/812" TargetMode="External"/><Relationship Id="rId165" Type="http://schemas.openxmlformats.org/officeDocument/2006/relationships/hyperlink" Target="https://github.com/expertiza/expertiza/pull/533" TargetMode="External"/><Relationship Id="rId69" Type="http://schemas.openxmlformats.org/officeDocument/2006/relationships/hyperlink" Target="https://github.com/expertiza/expertiza/pull/892" TargetMode="External"/><Relationship Id="rId164" Type="http://schemas.openxmlformats.org/officeDocument/2006/relationships/hyperlink" Target="https://github.com/expertiza/expertiza/pull/531" TargetMode="External"/><Relationship Id="rId163" Type="http://schemas.openxmlformats.org/officeDocument/2006/relationships/hyperlink" Target="https://github.com/expertiza/expertiza/pull/506" TargetMode="External"/><Relationship Id="rId162" Type="http://schemas.openxmlformats.org/officeDocument/2006/relationships/hyperlink" Target="https://github.com/expertiza/expertiza/pull/528" TargetMode="External"/><Relationship Id="rId169" Type="http://schemas.openxmlformats.org/officeDocument/2006/relationships/hyperlink" Target="https://github.com/expertiza/expertiza/pull/546" TargetMode="External"/><Relationship Id="rId168" Type="http://schemas.openxmlformats.org/officeDocument/2006/relationships/hyperlink" Target="https://github.com/expertiza/expertiza/pull/547" TargetMode="External"/><Relationship Id="rId167" Type="http://schemas.openxmlformats.org/officeDocument/2006/relationships/hyperlink" Target="https://github.com/expertiza/expertiza/pull/541" TargetMode="External"/><Relationship Id="rId166" Type="http://schemas.openxmlformats.org/officeDocument/2006/relationships/hyperlink" Target="https://github.com/expertiza/expertiza/pull/548" TargetMode="External"/><Relationship Id="rId51" Type="http://schemas.openxmlformats.org/officeDocument/2006/relationships/hyperlink" Target="https://github.com/expertiza/expertiza/pull/844" TargetMode="External"/><Relationship Id="rId50" Type="http://schemas.openxmlformats.org/officeDocument/2006/relationships/hyperlink" Target="https://github.com/expertiza/expertiza/pull/763" TargetMode="External"/><Relationship Id="rId53" Type="http://schemas.openxmlformats.org/officeDocument/2006/relationships/hyperlink" Target="https://github.com/expertiza/expertiza/pull/787" TargetMode="External"/><Relationship Id="rId52" Type="http://schemas.openxmlformats.org/officeDocument/2006/relationships/hyperlink" Target="https://github.com/expertiza/expertiza/pull/825" TargetMode="External"/><Relationship Id="rId55" Type="http://schemas.openxmlformats.org/officeDocument/2006/relationships/hyperlink" Target="https://github.com/expertiza/expertiza/pull/804" TargetMode="External"/><Relationship Id="rId161" Type="http://schemas.openxmlformats.org/officeDocument/2006/relationships/hyperlink" Target="https://github.com/expertiza/expertiza/pull/505" TargetMode="External"/><Relationship Id="rId54" Type="http://schemas.openxmlformats.org/officeDocument/2006/relationships/hyperlink" Target="https://github.com/expertiza/expertiza/pull/835" TargetMode="External"/><Relationship Id="rId160" Type="http://schemas.openxmlformats.org/officeDocument/2006/relationships/hyperlink" Target="https://github.com/expertiza/expertiza/pull/509" TargetMode="External"/><Relationship Id="rId57" Type="http://schemas.openxmlformats.org/officeDocument/2006/relationships/hyperlink" Target="https://github.com/expertiza/expertiza/pull/811" TargetMode="External"/><Relationship Id="rId56" Type="http://schemas.openxmlformats.org/officeDocument/2006/relationships/hyperlink" Target="https://github.com/expertiza/expertiza/pull/811" TargetMode="External"/><Relationship Id="rId159" Type="http://schemas.openxmlformats.org/officeDocument/2006/relationships/hyperlink" Target="https://github.com/expertiza/expertiza/pull/508" TargetMode="External"/><Relationship Id="rId59" Type="http://schemas.openxmlformats.org/officeDocument/2006/relationships/hyperlink" Target="https://github.com/expertiza/expertiza/pull/813" TargetMode="External"/><Relationship Id="rId154" Type="http://schemas.openxmlformats.org/officeDocument/2006/relationships/hyperlink" Target="https://github.com/expertiza/expertiza/pull/625" TargetMode="External"/><Relationship Id="rId58" Type="http://schemas.openxmlformats.org/officeDocument/2006/relationships/hyperlink" Target="https://github.com/expertiza/expertiza/pull/772" TargetMode="External"/><Relationship Id="rId153" Type="http://schemas.openxmlformats.org/officeDocument/2006/relationships/hyperlink" Target="https://github.com/expertiza/expertiza/pull/639" TargetMode="External"/><Relationship Id="rId152" Type="http://schemas.openxmlformats.org/officeDocument/2006/relationships/hyperlink" Target="https://github.com/expertiza/expertiza/pull/624" TargetMode="External"/><Relationship Id="rId151" Type="http://schemas.openxmlformats.org/officeDocument/2006/relationships/hyperlink" Target="https://github.com/expertiza/expertiza/pull/628" TargetMode="External"/><Relationship Id="rId158" Type="http://schemas.openxmlformats.org/officeDocument/2006/relationships/hyperlink" Target="https://github.com/expertiza/expertiza/pull/507" TargetMode="External"/><Relationship Id="rId157" Type="http://schemas.openxmlformats.org/officeDocument/2006/relationships/hyperlink" Target="https://github.com/expertiza/expertiza/pull/530" TargetMode="External"/><Relationship Id="rId156" Type="http://schemas.openxmlformats.org/officeDocument/2006/relationships/hyperlink" Target="https://github.com/expertiza/expertiza/pull/510" TargetMode="External"/><Relationship Id="rId155" Type="http://schemas.openxmlformats.org/officeDocument/2006/relationships/hyperlink" Target="https://github.com/expertiza/expertiza/pull/626" TargetMode="External"/><Relationship Id="rId107" Type="http://schemas.openxmlformats.org/officeDocument/2006/relationships/hyperlink" Target="https://github.com/expertiza/expertiza/pull/659" TargetMode="External"/><Relationship Id="rId228" Type="http://schemas.openxmlformats.org/officeDocument/2006/relationships/hyperlink" Target="https://github.com/expertiza/expertiza/pull/387" TargetMode="External"/><Relationship Id="rId106" Type="http://schemas.openxmlformats.org/officeDocument/2006/relationships/hyperlink" Target="https://github.com/expertiza/expertiza/pull/657" TargetMode="External"/><Relationship Id="rId227" Type="http://schemas.openxmlformats.org/officeDocument/2006/relationships/hyperlink" Target="https://github.com/expertiza/expertiza/pull/388" TargetMode="External"/><Relationship Id="rId105" Type="http://schemas.openxmlformats.org/officeDocument/2006/relationships/hyperlink" Target="https://github.com/expertiza/expertiza/pull/661" TargetMode="External"/><Relationship Id="rId226" Type="http://schemas.openxmlformats.org/officeDocument/2006/relationships/hyperlink" Target="https://github.com/expertiza/expertiza/pull/383" TargetMode="External"/><Relationship Id="rId104" Type="http://schemas.openxmlformats.org/officeDocument/2006/relationships/hyperlink" Target="https://github.com/expertiza/expertiza/pull/666" TargetMode="External"/><Relationship Id="rId225" Type="http://schemas.openxmlformats.org/officeDocument/2006/relationships/hyperlink" Target="https://github.com/expertiza/expertiza/pull/389" TargetMode="External"/><Relationship Id="rId109" Type="http://schemas.openxmlformats.org/officeDocument/2006/relationships/hyperlink" Target="https://github.com/expertiza/expertiza/pull/671" TargetMode="External"/><Relationship Id="rId108" Type="http://schemas.openxmlformats.org/officeDocument/2006/relationships/hyperlink" Target="https://github.com/expertiza/expertiza/pull/679" TargetMode="External"/><Relationship Id="rId229" Type="http://schemas.openxmlformats.org/officeDocument/2006/relationships/hyperlink" Target="https://github.com/expertiza/expertiza/pull/386" TargetMode="External"/><Relationship Id="rId220" Type="http://schemas.openxmlformats.org/officeDocument/2006/relationships/hyperlink" Target="https://github.com/expertiza/expertiza/pull/393" TargetMode="External"/><Relationship Id="rId103" Type="http://schemas.openxmlformats.org/officeDocument/2006/relationships/hyperlink" Target="https://github.com/expertiza/expertiza/pull/652" TargetMode="External"/><Relationship Id="rId224" Type="http://schemas.openxmlformats.org/officeDocument/2006/relationships/hyperlink" Target="https://github.com/expertiza/expertiza/pull/390" TargetMode="External"/><Relationship Id="rId102" Type="http://schemas.openxmlformats.org/officeDocument/2006/relationships/hyperlink" Target="https://github.com/expertiza/expertiza/pull/664" TargetMode="External"/><Relationship Id="rId223" Type="http://schemas.openxmlformats.org/officeDocument/2006/relationships/hyperlink" Target="https://github.com/expertiza/expertiza/pull/397" TargetMode="External"/><Relationship Id="rId101" Type="http://schemas.openxmlformats.org/officeDocument/2006/relationships/hyperlink" Target="https://github.com/expertiza/expertiza/pull/658" TargetMode="External"/><Relationship Id="rId222" Type="http://schemas.openxmlformats.org/officeDocument/2006/relationships/hyperlink" Target="https://github.com/expertiza/expertiza/pull/381" TargetMode="External"/><Relationship Id="rId100" Type="http://schemas.openxmlformats.org/officeDocument/2006/relationships/hyperlink" Target="https://github.com/expertiza/expertiza/pull/654" TargetMode="External"/><Relationship Id="rId221" Type="http://schemas.openxmlformats.org/officeDocument/2006/relationships/hyperlink" Target="https://github.com/expertiza/expertiza/pull/385" TargetMode="External"/><Relationship Id="rId217" Type="http://schemas.openxmlformats.org/officeDocument/2006/relationships/hyperlink" Target="https://github.com/expertiza/expertiza/pull/382" TargetMode="External"/><Relationship Id="rId216" Type="http://schemas.openxmlformats.org/officeDocument/2006/relationships/hyperlink" Target="https://github.com/expertiza/expertiza/pull/380" TargetMode="External"/><Relationship Id="rId215" Type="http://schemas.openxmlformats.org/officeDocument/2006/relationships/hyperlink" Target="https://github.com/expertiza/expertiza/pull/379" TargetMode="External"/><Relationship Id="rId214" Type="http://schemas.openxmlformats.org/officeDocument/2006/relationships/hyperlink" Target="https://github.com/expertiza/expertiza/pull/361" TargetMode="External"/><Relationship Id="rId219" Type="http://schemas.openxmlformats.org/officeDocument/2006/relationships/hyperlink" Target="https://github.com/expertiza/expertiza/pull/394" TargetMode="External"/><Relationship Id="rId218" Type="http://schemas.openxmlformats.org/officeDocument/2006/relationships/hyperlink" Target="https://github.com/expertiza/expertiza/pull/378" TargetMode="External"/><Relationship Id="rId213" Type="http://schemas.openxmlformats.org/officeDocument/2006/relationships/hyperlink" Target="https://github.com/expertiza/expertiza/pull/362" TargetMode="External"/><Relationship Id="rId212" Type="http://schemas.openxmlformats.org/officeDocument/2006/relationships/hyperlink" Target="https://github.com/expertiza/expertiza/pull/353" TargetMode="External"/><Relationship Id="rId211" Type="http://schemas.openxmlformats.org/officeDocument/2006/relationships/hyperlink" Target="https://github.com/expertiza/expertiza/pull/359" TargetMode="External"/><Relationship Id="rId210" Type="http://schemas.openxmlformats.org/officeDocument/2006/relationships/hyperlink" Target="https://github.com/expertiza/expertiza/pull/356" TargetMode="External"/><Relationship Id="rId129" Type="http://schemas.openxmlformats.org/officeDocument/2006/relationships/hyperlink" Target="https://github.com/expertiza/expertiza/pull/603" TargetMode="External"/><Relationship Id="rId128" Type="http://schemas.openxmlformats.org/officeDocument/2006/relationships/hyperlink" Target="https://github.com/expertiza/expertiza/pull/612" TargetMode="External"/><Relationship Id="rId249" Type="http://schemas.openxmlformats.org/officeDocument/2006/relationships/hyperlink" Target="https://github.com/expertiza/expertiza/pull/233" TargetMode="External"/><Relationship Id="rId127" Type="http://schemas.openxmlformats.org/officeDocument/2006/relationships/hyperlink" Target="https://github.com/expertiza/expertiza/pull/607" TargetMode="External"/><Relationship Id="rId248" Type="http://schemas.openxmlformats.org/officeDocument/2006/relationships/hyperlink" Target="https://github.com/expertiza/expertiza/pull/235" TargetMode="External"/><Relationship Id="rId126" Type="http://schemas.openxmlformats.org/officeDocument/2006/relationships/hyperlink" Target="https://github.com/expertiza/expertiza/pull/589" TargetMode="External"/><Relationship Id="rId247" Type="http://schemas.openxmlformats.org/officeDocument/2006/relationships/hyperlink" Target="https://github.com/expertiza/expertiza/pull/232" TargetMode="External"/><Relationship Id="rId121" Type="http://schemas.openxmlformats.org/officeDocument/2006/relationships/hyperlink" Target="https://github.com/expertiza/expertiza/pull/614" TargetMode="External"/><Relationship Id="rId242" Type="http://schemas.openxmlformats.org/officeDocument/2006/relationships/hyperlink" Target="https://github.com/expertiza/expertiza/pull/231" TargetMode="External"/><Relationship Id="rId120" Type="http://schemas.openxmlformats.org/officeDocument/2006/relationships/hyperlink" Target="https://github.com/expertiza/expertiza/pull/590" TargetMode="External"/><Relationship Id="rId241" Type="http://schemas.openxmlformats.org/officeDocument/2006/relationships/hyperlink" Target="https://github.com/expertiza/expertiza/pull/269" TargetMode="External"/><Relationship Id="rId240" Type="http://schemas.openxmlformats.org/officeDocument/2006/relationships/hyperlink" Target="https://github.com/expertiza/expertiza/pull/234" TargetMode="External"/><Relationship Id="rId125" Type="http://schemas.openxmlformats.org/officeDocument/2006/relationships/hyperlink" Target="https://github.com/expertiza/expertiza/pull/619" TargetMode="External"/><Relationship Id="rId246" Type="http://schemas.openxmlformats.org/officeDocument/2006/relationships/hyperlink" Target="https://github.com/expertiza/expertiza/pull/236" TargetMode="External"/><Relationship Id="rId124" Type="http://schemas.openxmlformats.org/officeDocument/2006/relationships/hyperlink" Target="https://github.com/expertiza/expertiza/pull/605" TargetMode="External"/><Relationship Id="rId245" Type="http://schemas.openxmlformats.org/officeDocument/2006/relationships/hyperlink" Target="https://github.com/expertiza/expertiza/pull/265" TargetMode="External"/><Relationship Id="rId123" Type="http://schemas.openxmlformats.org/officeDocument/2006/relationships/hyperlink" Target="https://github.com/expertiza/expertiza/pull/595" TargetMode="External"/><Relationship Id="rId244" Type="http://schemas.openxmlformats.org/officeDocument/2006/relationships/hyperlink" Target="https://github.com/expertiza/expertiza/pull/238" TargetMode="External"/><Relationship Id="rId122" Type="http://schemas.openxmlformats.org/officeDocument/2006/relationships/hyperlink" Target="https://github.com/expertiza/expertiza/pull/585" TargetMode="External"/><Relationship Id="rId243" Type="http://schemas.openxmlformats.org/officeDocument/2006/relationships/hyperlink" Target="https://github.com/expertiza/expertiza/pull/237" TargetMode="External"/><Relationship Id="rId95" Type="http://schemas.openxmlformats.org/officeDocument/2006/relationships/hyperlink" Target="https://github.com/expertiza/expertiza/pull/870" TargetMode="External"/><Relationship Id="rId94" Type="http://schemas.openxmlformats.org/officeDocument/2006/relationships/hyperlink" Target="https://github.com/expertiza/expertiza/pull/877" TargetMode="External"/><Relationship Id="rId97" Type="http://schemas.openxmlformats.org/officeDocument/2006/relationships/hyperlink" Target="https://github.com/expertiza/expertiza/pull/655" TargetMode="External"/><Relationship Id="rId96" Type="http://schemas.openxmlformats.org/officeDocument/2006/relationships/hyperlink" Target="https://github.com/expertiza/expertiza/pull/656" TargetMode="External"/><Relationship Id="rId99" Type="http://schemas.openxmlformats.org/officeDocument/2006/relationships/hyperlink" Target="https://github.com/expertiza/expertiza/pull/662" TargetMode="External"/><Relationship Id="rId98" Type="http://schemas.openxmlformats.org/officeDocument/2006/relationships/hyperlink" Target="https://github.com/expertiza/expertiza/pull/663" TargetMode="External"/><Relationship Id="rId91" Type="http://schemas.openxmlformats.org/officeDocument/2006/relationships/hyperlink" Target="https://github.com/expertiza/expertiza/pull/893" TargetMode="External"/><Relationship Id="rId90" Type="http://schemas.openxmlformats.org/officeDocument/2006/relationships/hyperlink" Target="https://github.com/expertiza/expertiza/pull/857" TargetMode="External"/><Relationship Id="rId93" Type="http://schemas.openxmlformats.org/officeDocument/2006/relationships/hyperlink" Target="https://github.com/expertiza/expertiza/pull/881" TargetMode="External"/><Relationship Id="rId92" Type="http://schemas.openxmlformats.org/officeDocument/2006/relationships/hyperlink" Target="https://github.com/expertiza/expertiza/pull/875" TargetMode="External"/><Relationship Id="rId118" Type="http://schemas.openxmlformats.org/officeDocument/2006/relationships/hyperlink" Target="https://github.com/expertiza/expertiza/pull/600" TargetMode="External"/><Relationship Id="rId239" Type="http://schemas.openxmlformats.org/officeDocument/2006/relationships/hyperlink" Target="https://github.com/expertiza/expertiza/pull/244" TargetMode="External"/><Relationship Id="rId117" Type="http://schemas.openxmlformats.org/officeDocument/2006/relationships/hyperlink" Target="https://github.com/expertiza/expertiza/pull/601" TargetMode="External"/><Relationship Id="rId238" Type="http://schemas.openxmlformats.org/officeDocument/2006/relationships/hyperlink" Target="https://github.com/expertiza/expertiza/pull/287" TargetMode="External"/><Relationship Id="rId116" Type="http://schemas.openxmlformats.org/officeDocument/2006/relationships/hyperlink" Target="https://github.com/expertiza/expertiza/pull/680" TargetMode="External"/><Relationship Id="rId237" Type="http://schemas.openxmlformats.org/officeDocument/2006/relationships/hyperlink" Target="https://github.com/expertiza/expertiza/pull/224" TargetMode="External"/><Relationship Id="rId115" Type="http://schemas.openxmlformats.org/officeDocument/2006/relationships/hyperlink" Target="https://github.com/expertiza/expertiza/pull/681" TargetMode="External"/><Relationship Id="rId236" Type="http://schemas.openxmlformats.org/officeDocument/2006/relationships/hyperlink" Target="https://github.com/expertiza/expertiza/pull/277" TargetMode="External"/><Relationship Id="rId119" Type="http://schemas.openxmlformats.org/officeDocument/2006/relationships/hyperlink" Target="https://github.com/expertiza/expertiza/pull/602" TargetMode="External"/><Relationship Id="rId110" Type="http://schemas.openxmlformats.org/officeDocument/2006/relationships/hyperlink" Target="https://github.com/expertiza/expertiza/pull/690" TargetMode="External"/><Relationship Id="rId231" Type="http://schemas.openxmlformats.org/officeDocument/2006/relationships/hyperlink" Target="https://github.com/expertiza/expertiza/pull/261" TargetMode="External"/><Relationship Id="rId230" Type="http://schemas.openxmlformats.org/officeDocument/2006/relationships/hyperlink" Target="https://github.com/expertiza/expertiza/pull/260" TargetMode="External"/><Relationship Id="rId114" Type="http://schemas.openxmlformats.org/officeDocument/2006/relationships/hyperlink" Target="https://github.com/expertiza/expertiza/pull/676" TargetMode="External"/><Relationship Id="rId235" Type="http://schemas.openxmlformats.org/officeDocument/2006/relationships/hyperlink" Target="https://github.com/expertiza/expertiza/pull/274" TargetMode="External"/><Relationship Id="rId113" Type="http://schemas.openxmlformats.org/officeDocument/2006/relationships/hyperlink" Target="https://github.com/expertiza/expertiza/pull/678" TargetMode="External"/><Relationship Id="rId234" Type="http://schemas.openxmlformats.org/officeDocument/2006/relationships/hyperlink" Target="https://github.com/expertiza/expertiza/pull/276" TargetMode="External"/><Relationship Id="rId112" Type="http://schemas.openxmlformats.org/officeDocument/2006/relationships/hyperlink" Target="https://github.com/expertiza/expertiza/pull/673" TargetMode="External"/><Relationship Id="rId233" Type="http://schemas.openxmlformats.org/officeDocument/2006/relationships/hyperlink" Target="https://github.com/expertiza/expertiza/pull/300" TargetMode="External"/><Relationship Id="rId111" Type="http://schemas.openxmlformats.org/officeDocument/2006/relationships/hyperlink" Target="https://github.com/expertiza/expertiza/pull/677" TargetMode="External"/><Relationship Id="rId232" Type="http://schemas.openxmlformats.org/officeDocument/2006/relationships/hyperlink" Target="https://github.com/expertiza/expertiza/pull/263" TargetMode="External"/><Relationship Id="rId206" Type="http://schemas.openxmlformats.org/officeDocument/2006/relationships/hyperlink" Target="https://github.com/expertiza/expertiza/pull/369" TargetMode="External"/><Relationship Id="rId205" Type="http://schemas.openxmlformats.org/officeDocument/2006/relationships/hyperlink" Target="https://github.com/expertiza/expertiza/pull/357" TargetMode="External"/><Relationship Id="rId204" Type="http://schemas.openxmlformats.org/officeDocument/2006/relationships/hyperlink" Target="https://github.com/expertiza/expertiza/pull/411" TargetMode="External"/><Relationship Id="rId203" Type="http://schemas.openxmlformats.org/officeDocument/2006/relationships/hyperlink" Target="https://github.com/expertiza/expertiza/pull/410" TargetMode="External"/><Relationship Id="rId209" Type="http://schemas.openxmlformats.org/officeDocument/2006/relationships/hyperlink" Target="https://github.com/expertiza/expertiza/pull/376" TargetMode="External"/><Relationship Id="rId208" Type="http://schemas.openxmlformats.org/officeDocument/2006/relationships/hyperlink" Target="https://github.com/expertiza/expertiza/pull/363" TargetMode="External"/><Relationship Id="rId207" Type="http://schemas.openxmlformats.org/officeDocument/2006/relationships/hyperlink" Target="https://github.com/expertiza/expertiza/pull/350" TargetMode="External"/><Relationship Id="rId202" Type="http://schemas.openxmlformats.org/officeDocument/2006/relationships/hyperlink" Target="https://github.com/expertiza/expertiza/pull/416" TargetMode="External"/><Relationship Id="rId201" Type="http://schemas.openxmlformats.org/officeDocument/2006/relationships/hyperlink" Target="https://github.com/expertiza/expertiza/pull/411" TargetMode="External"/><Relationship Id="rId200" Type="http://schemas.openxmlformats.org/officeDocument/2006/relationships/hyperlink" Target="https://github.com/expertiza/expertiza/pull/41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expertiza/expertiza/pull/1050" TargetMode="External"/><Relationship Id="rId190" Type="http://schemas.openxmlformats.org/officeDocument/2006/relationships/hyperlink" Target="https://github.com/expertiza/expertiza/pull/658" TargetMode="External"/><Relationship Id="rId42" Type="http://schemas.openxmlformats.org/officeDocument/2006/relationships/hyperlink" Target="https://github.com/expertiza/expertiza/pull/1036" TargetMode="External"/><Relationship Id="rId41" Type="http://schemas.openxmlformats.org/officeDocument/2006/relationships/hyperlink" Target="https://github.com/expertiza/expertiza/pull/1055" TargetMode="External"/><Relationship Id="rId44" Type="http://schemas.openxmlformats.org/officeDocument/2006/relationships/hyperlink" Target="https://github.com/expertiza/expertiza/pull/1066" TargetMode="External"/><Relationship Id="rId194" Type="http://schemas.openxmlformats.org/officeDocument/2006/relationships/hyperlink" Target="https://github.com/expertiza/expertiza/pull/661" TargetMode="External"/><Relationship Id="rId43" Type="http://schemas.openxmlformats.org/officeDocument/2006/relationships/hyperlink" Target="https://github.com/expertiza/expertiza/pull/1061" TargetMode="External"/><Relationship Id="rId193" Type="http://schemas.openxmlformats.org/officeDocument/2006/relationships/hyperlink" Target="https://github.com/expertiza/expertiza/pull/666" TargetMode="External"/><Relationship Id="rId46" Type="http://schemas.openxmlformats.org/officeDocument/2006/relationships/hyperlink" Target="https://github.com/expertiza/expertiza/pull/1037" TargetMode="External"/><Relationship Id="rId192" Type="http://schemas.openxmlformats.org/officeDocument/2006/relationships/hyperlink" Target="https://github.com/expertiza/expertiza/pull/652" TargetMode="External"/><Relationship Id="rId45" Type="http://schemas.openxmlformats.org/officeDocument/2006/relationships/hyperlink" Target="https://github.com/expertiza/expertiza/pull/1063" TargetMode="External"/><Relationship Id="rId191" Type="http://schemas.openxmlformats.org/officeDocument/2006/relationships/hyperlink" Target="https://github.com/expertiza/expertiza/pull/664" TargetMode="External"/><Relationship Id="rId48" Type="http://schemas.openxmlformats.org/officeDocument/2006/relationships/hyperlink" Target="https://github.com/expertiza/expertiza/pull/1043" TargetMode="External"/><Relationship Id="rId187" Type="http://schemas.openxmlformats.org/officeDocument/2006/relationships/hyperlink" Target="https://github.com/expertiza/expertiza/pull/663" TargetMode="External"/><Relationship Id="rId47" Type="http://schemas.openxmlformats.org/officeDocument/2006/relationships/hyperlink" Target="https://github.com/expertiza/expertiza/pull/1049" TargetMode="External"/><Relationship Id="rId186" Type="http://schemas.openxmlformats.org/officeDocument/2006/relationships/hyperlink" Target="https://github.com/expertiza/expertiza/pull/655" TargetMode="External"/><Relationship Id="rId185" Type="http://schemas.openxmlformats.org/officeDocument/2006/relationships/hyperlink" Target="https://github.com/expertiza/expertiza/pull/656" TargetMode="External"/><Relationship Id="rId49" Type="http://schemas.openxmlformats.org/officeDocument/2006/relationships/hyperlink" Target="https://github.com/expertiza/expertiza/pull/1027" TargetMode="External"/><Relationship Id="rId184" Type="http://schemas.openxmlformats.org/officeDocument/2006/relationships/hyperlink" Target="https://github.com/expertiza/expertiza/pull/870" TargetMode="External"/><Relationship Id="rId189" Type="http://schemas.openxmlformats.org/officeDocument/2006/relationships/hyperlink" Target="https://github.com/expertiza/expertiza/pull/654" TargetMode="External"/><Relationship Id="rId188" Type="http://schemas.openxmlformats.org/officeDocument/2006/relationships/hyperlink" Target="https://github.com/expertiza/expertiza/pull/662" TargetMode="External"/><Relationship Id="rId31" Type="http://schemas.openxmlformats.org/officeDocument/2006/relationships/hyperlink" Target="https://github.com/expertiza/expertiza/pull/1069" TargetMode="External"/><Relationship Id="rId30" Type="http://schemas.openxmlformats.org/officeDocument/2006/relationships/hyperlink" Target="https://github.com/expertiza/expertiza/pull/1060" TargetMode="External"/><Relationship Id="rId33" Type="http://schemas.openxmlformats.org/officeDocument/2006/relationships/hyperlink" Target="https://github.com/expertiza/expertiza/pull/1052" TargetMode="External"/><Relationship Id="rId183" Type="http://schemas.openxmlformats.org/officeDocument/2006/relationships/hyperlink" Target="https://github.com/expertiza/expertiza/pull/877" TargetMode="External"/><Relationship Id="rId32" Type="http://schemas.openxmlformats.org/officeDocument/2006/relationships/hyperlink" Target="https://github.com/expertiza/expertiza/pull/1024" TargetMode="External"/><Relationship Id="rId182" Type="http://schemas.openxmlformats.org/officeDocument/2006/relationships/hyperlink" Target="https://github.com/expertiza/expertiza/pull/881" TargetMode="External"/><Relationship Id="rId35" Type="http://schemas.openxmlformats.org/officeDocument/2006/relationships/hyperlink" Target="https://github.com/expertiza/expertiza/pull/1047" TargetMode="External"/><Relationship Id="rId181" Type="http://schemas.openxmlformats.org/officeDocument/2006/relationships/hyperlink" Target="https://github.com/expertiza/expertiza/pull/875" TargetMode="External"/><Relationship Id="rId34" Type="http://schemas.openxmlformats.org/officeDocument/2006/relationships/hyperlink" Target="https://github.com/expertiza/expertiza/pull/1046" TargetMode="External"/><Relationship Id="rId180" Type="http://schemas.openxmlformats.org/officeDocument/2006/relationships/hyperlink" Target="https://github.com/expertiza/expertiza/pull/893" TargetMode="External"/><Relationship Id="rId37" Type="http://schemas.openxmlformats.org/officeDocument/2006/relationships/hyperlink" Target="https://github.com/expertiza/expertiza/pull/1048" TargetMode="External"/><Relationship Id="rId176" Type="http://schemas.openxmlformats.org/officeDocument/2006/relationships/hyperlink" Target="https://github.com/expertiza/expertiza/pull/891" TargetMode="External"/><Relationship Id="rId297" Type="http://schemas.openxmlformats.org/officeDocument/2006/relationships/hyperlink" Target="https://github.com/expertiza/expertiza/pull/363" TargetMode="External"/><Relationship Id="rId36" Type="http://schemas.openxmlformats.org/officeDocument/2006/relationships/hyperlink" Target="https://github.com/expertiza/expertiza/pull/1032" TargetMode="External"/><Relationship Id="rId175" Type="http://schemas.openxmlformats.org/officeDocument/2006/relationships/hyperlink" Target="https://github.com/expertiza/expertiza/pull/890" TargetMode="External"/><Relationship Id="rId296" Type="http://schemas.openxmlformats.org/officeDocument/2006/relationships/hyperlink" Target="https://github.com/expertiza/expertiza/pull/350" TargetMode="External"/><Relationship Id="rId39" Type="http://schemas.openxmlformats.org/officeDocument/2006/relationships/hyperlink" Target="https://github.com/expertiza/expertiza/pull/1021" TargetMode="External"/><Relationship Id="rId174" Type="http://schemas.openxmlformats.org/officeDocument/2006/relationships/hyperlink" Target="https://github.com/expertiza/expertiza/pull/866" TargetMode="External"/><Relationship Id="rId295" Type="http://schemas.openxmlformats.org/officeDocument/2006/relationships/hyperlink" Target="https://github.com/expertiza/expertiza/pull/369" TargetMode="External"/><Relationship Id="rId38" Type="http://schemas.openxmlformats.org/officeDocument/2006/relationships/hyperlink" Target="https://github.com/expertiza/expertiza/pull/1051" TargetMode="External"/><Relationship Id="rId173" Type="http://schemas.openxmlformats.org/officeDocument/2006/relationships/hyperlink" Target="https://github.com/expertiza/expertiza/pull/873" TargetMode="External"/><Relationship Id="rId294" Type="http://schemas.openxmlformats.org/officeDocument/2006/relationships/hyperlink" Target="https://github.com/expertiza/expertiza/pull/357" TargetMode="External"/><Relationship Id="rId179" Type="http://schemas.openxmlformats.org/officeDocument/2006/relationships/hyperlink" Target="https://github.com/expertiza/expertiza/pull/857" TargetMode="External"/><Relationship Id="rId178" Type="http://schemas.openxmlformats.org/officeDocument/2006/relationships/hyperlink" Target="https://github.com/expertiza/expertiza/pull/868" TargetMode="External"/><Relationship Id="rId299" Type="http://schemas.openxmlformats.org/officeDocument/2006/relationships/hyperlink" Target="https://github.com/expertiza/expertiza/pull/356" TargetMode="External"/><Relationship Id="rId177" Type="http://schemas.openxmlformats.org/officeDocument/2006/relationships/hyperlink" Target="https://github.com/expertiza/expertiza/pull/864" TargetMode="External"/><Relationship Id="rId298" Type="http://schemas.openxmlformats.org/officeDocument/2006/relationships/hyperlink" Target="https://github.com/expertiza/expertiza/pull/376" TargetMode="External"/><Relationship Id="rId20" Type="http://schemas.openxmlformats.org/officeDocument/2006/relationships/hyperlink" Target="https://github.com/expertiza/expertiza/pull/1183" TargetMode="External"/><Relationship Id="rId22" Type="http://schemas.openxmlformats.org/officeDocument/2006/relationships/hyperlink" Target="https://github.com/expertiza/expertiza/pull/1177" TargetMode="External"/><Relationship Id="rId21" Type="http://schemas.openxmlformats.org/officeDocument/2006/relationships/hyperlink" Target="https://github.com/expertiza/expertiza/pull/1175" TargetMode="External"/><Relationship Id="rId24" Type="http://schemas.openxmlformats.org/officeDocument/2006/relationships/hyperlink" Target="https://github.com/expertiza/expertiza/pull/1172" TargetMode="External"/><Relationship Id="rId23" Type="http://schemas.openxmlformats.org/officeDocument/2006/relationships/hyperlink" Target="https://github.com/expertiza/expertiza/pull/1176" TargetMode="External"/><Relationship Id="rId26" Type="http://schemas.openxmlformats.org/officeDocument/2006/relationships/hyperlink" Target="https://github.com/expertiza/expertiza/pull/1025" TargetMode="External"/><Relationship Id="rId25" Type="http://schemas.openxmlformats.org/officeDocument/2006/relationships/hyperlink" Target="https://github.com/expertiza/expertiza/pull/1182" TargetMode="External"/><Relationship Id="rId28" Type="http://schemas.openxmlformats.org/officeDocument/2006/relationships/hyperlink" Target="https://github.com/expertiza/expertiza/pull/1075" TargetMode="External"/><Relationship Id="rId27" Type="http://schemas.openxmlformats.org/officeDocument/2006/relationships/hyperlink" Target="https://github.com/expertiza/expertiza/pull/1071" TargetMode="External"/><Relationship Id="rId29" Type="http://schemas.openxmlformats.org/officeDocument/2006/relationships/hyperlink" Target="https://github.com/expertiza/expertiza/pull/1056" TargetMode="External"/><Relationship Id="rId11" Type="http://schemas.openxmlformats.org/officeDocument/2006/relationships/hyperlink" Target="https://github.com/expertiza/expertiza/pull/1152" TargetMode="External"/><Relationship Id="rId10" Type="http://schemas.openxmlformats.org/officeDocument/2006/relationships/hyperlink" Target="https://github.com/expertiza/expertiza/pull/1168" TargetMode="External"/><Relationship Id="rId13" Type="http://schemas.openxmlformats.org/officeDocument/2006/relationships/hyperlink" Target="https://github.com/expertiza/expertiza/pull/1154" TargetMode="External"/><Relationship Id="rId12" Type="http://schemas.openxmlformats.org/officeDocument/2006/relationships/hyperlink" Target="https://github.com/expertiza/expertiza/pull/1161" TargetMode="External"/><Relationship Id="rId15" Type="http://schemas.openxmlformats.org/officeDocument/2006/relationships/hyperlink" Target="https://github.com/expertiza/expertiza/pull/1179" TargetMode="External"/><Relationship Id="rId198" Type="http://schemas.openxmlformats.org/officeDocument/2006/relationships/hyperlink" Target="https://github.com/expertiza/expertiza/pull/671" TargetMode="External"/><Relationship Id="rId14" Type="http://schemas.openxmlformats.org/officeDocument/2006/relationships/hyperlink" Target="https://github.com/expertiza/expertiza/pull/1155" TargetMode="External"/><Relationship Id="rId197" Type="http://schemas.openxmlformats.org/officeDocument/2006/relationships/hyperlink" Target="https://github.com/expertiza/expertiza/pull/679" TargetMode="External"/><Relationship Id="rId17" Type="http://schemas.openxmlformats.org/officeDocument/2006/relationships/hyperlink" Target="https://github.com/expertiza/expertiza/pull/1167" TargetMode="External"/><Relationship Id="rId196" Type="http://schemas.openxmlformats.org/officeDocument/2006/relationships/hyperlink" Target="https://github.com/expertiza/expertiza/pull/659" TargetMode="External"/><Relationship Id="rId16" Type="http://schemas.openxmlformats.org/officeDocument/2006/relationships/hyperlink" Target="https://github.com/expertiza/expertiza/pull/1180" TargetMode="External"/><Relationship Id="rId195" Type="http://schemas.openxmlformats.org/officeDocument/2006/relationships/hyperlink" Target="https://github.com/expertiza/expertiza/pull/657" TargetMode="External"/><Relationship Id="rId19" Type="http://schemas.openxmlformats.org/officeDocument/2006/relationships/hyperlink" Target="https://github.com/expertiza/expertiza/pull/1181" TargetMode="External"/><Relationship Id="rId18" Type="http://schemas.openxmlformats.org/officeDocument/2006/relationships/hyperlink" Target="https://github.com/expertiza/expertiza/pull/1178" TargetMode="External"/><Relationship Id="rId199" Type="http://schemas.openxmlformats.org/officeDocument/2006/relationships/hyperlink" Target="https://github.com/expertiza/expertiza/pull/690" TargetMode="External"/><Relationship Id="rId84" Type="http://schemas.openxmlformats.org/officeDocument/2006/relationships/hyperlink" Target="https://github.com/expertiza/expertiza/pull/1108" TargetMode="External"/><Relationship Id="rId83" Type="http://schemas.openxmlformats.org/officeDocument/2006/relationships/hyperlink" Target="https://github.com/expertiza/expertiza/pull/1112" TargetMode="External"/><Relationship Id="rId86" Type="http://schemas.openxmlformats.org/officeDocument/2006/relationships/hyperlink" Target="https://github.com/expertiza/expertiza/pull/1132" TargetMode="External"/><Relationship Id="rId85" Type="http://schemas.openxmlformats.org/officeDocument/2006/relationships/hyperlink" Target="https://github.com/expertiza/expertiza/pull/1104" TargetMode="External"/><Relationship Id="rId88" Type="http://schemas.openxmlformats.org/officeDocument/2006/relationships/hyperlink" Target="https://github.com/expertiza/expertiza/pull/1117" TargetMode="External"/><Relationship Id="rId150" Type="http://schemas.openxmlformats.org/officeDocument/2006/relationships/hyperlink" Target="https://github.com/expertiza/expertiza/pull/765" TargetMode="External"/><Relationship Id="rId271" Type="http://schemas.openxmlformats.org/officeDocument/2006/relationships/hyperlink" Target="https://github.com/expertiza/expertiza/pull/448" TargetMode="External"/><Relationship Id="rId87" Type="http://schemas.openxmlformats.org/officeDocument/2006/relationships/hyperlink" Target="https://github.com/expertiza/expertiza/pull/1122" TargetMode="External"/><Relationship Id="rId270" Type="http://schemas.openxmlformats.org/officeDocument/2006/relationships/hyperlink" Target="https://github.com/expertiza/expertiza/pull/431" TargetMode="External"/><Relationship Id="rId89" Type="http://schemas.openxmlformats.org/officeDocument/2006/relationships/hyperlink" Target="https://github.com/expertiza/expertiza/pull/1128" TargetMode="External"/><Relationship Id="rId80" Type="http://schemas.openxmlformats.org/officeDocument/2006/relationships/hyperlink" Target="https://github.com/expertiza/expertiza/pull/1109" TargetMode="External"/><Relationship Id="rId82" Type="http://schemas.openxmlformats.org/officeDocument/2006/relationships/hyperlink" Target="https://github.com/expertiza/expertiza/pull/1127" TargetMode="External"/><Relationship Id="rId81" Type="http://schemas.openxmlformats.org/officeDocument/2006/relationships/hyperlink" Target="https://github.com/expertiza/expertiza/pull/1127" TargetMode="External"/><Relationship Id="rId1" Type="http://schemas.openxmlformats.org/officeDocument/2006/relationships/hyperlink" Target="https://github.com/expertiza/expertiza/pull/1159" TargetMode="External"/><Relationship Id="rId2" Type="http://schemas.openxmlformats.org/officeDocument/2006/relationships/hyperlink" Target="https://github.com/expertiza/expertiza/pull/1160" TargetMode="External"/><Relationship Id="rId3" Type="http://schemas.openxmlformats.org/officeDocument/2006/relationships/hyperlink" Target="https://github.com/expertiza/expertiza/pull/1144" TargetMode="External"/><Relationship Id="rId149" Type="http://schemas.openxmlformats.org/officeDocument/2006/relationships/hyperlink" Target="https://github.com/expertiza/expertiza/pull/812" TargetMode="External"/><Relationship Id="rId4" Type="http://schemas.openxmlformats.org/officeDocument/2006/relationships/hyperlink" Target="https://github.com/expertiza/expertiza/pull/1165" TargetMode="External"/><Relationship Id="rId148" Type="http://schemas.openxmlformats.org/officeDocument/2006/relationships/hyperlink" Target="https://github.com/expertiza/expertiza/pull/813" TargetMode="External"/><Relationship Id="rId269" Type="http://schemas.openxmlformats.org/officeDocument/2006/relationships/hyperlink" Target="https://github.com/expertiza/expertiza/pull/447" TargetMode="External"/><Relationship Id="rId9" Type="http://schemas.openxmlformats.org/officeDocument/2006/relationships/hyperlink" Target="https://github.com/expertiza/expertiza/pull/1156" TargetMode="External"/><Relationship Id="rId143" Type="http://schemas.openxmlformats.org/officeDocument/2006/relationships/hyperlink" Target="https://github.com/expertiza/expertiza/pull/835" TargetMode="External"/><Relationship Id="rId264" Type="http://schemas.openxmlformats.org/officeDocument/2006/relationships/hyperlink" Target="https://github.com/expertiza/expertiza/pull/439" TargetMode="External"/><Relationship Id="rId142" Type="http://schemas.openxmlformats.org/officeDocument/2006/relationships/hyperlink" Target="https://github.com/expertiza/expertiza/pull/787" TargetMode="External"/><Relationship Id="rId263" Type="http://schemas.openxmlformats.org/officeDocument/2006/relationships/hyperlink" Target="https://github.com/expertiza/expertiza/pull/433" TargetMode="External"/><Relationship Id="rId141" Type="http://schemas.openxmlformats.org/officeDocument/2006/relationships/hyperlink" Target="https://github.com/expertiza/expertiza/pull/825" TargetMode="External"/><Relationship Id="rId262" Type="http://schemas.openxmlformats.org/officeDocument/2006/relationships/hyperlink" Target="https://github.com/expertiza/expertiza/pull/443" TargetMode="External"/><Relationship Id="rId140" Type="http://schemas.openxmlformats.org/officeDocument/2006/relationships/hyperlink" Target="https://github.com/expertiza/expertiza/pull/844" TargetMode="External"/><Relationship Id="rId261" Type="http://schemas.openxmlformats.org/officeDocument/2006/relationships/hyperlink" Target="https://github.com/expertiza/expertiza/pull/451" TargetMode="External"/><Relationship Id="rId5" Type="http://schemas.openxmlformats.org/officeDocument/2006/relationships/hyperlink" Target="https://github.com/expertiza/expertiza/pull/1158" TargetMode="External"/><Relationship Id="rId147" Type="http://schemas.openxmlformats.org/officeDocument/2006/relationships/hyperlink" Target="https://github.com/expertiza/expertiza/pull/772" TargetMode="External"/><Relationship Id="rId268" Type="http://schemas.openxmlformats.org/officeDocument/2006/relationships/hyperlink" Target="https://github.com/expertiza/expertiza/pull/442" TargetMode="External"/><Relationship Id="rId6" Type="http://schemas.openxmlformats.org/officeDocument/2006/relationships/hyperlink" Target="https://github.com/expertiza/expertiza/pull/1153" TargetMode="External"/><Relationship Id="rId146" Type="http://schemas.openxmlformats.org/officeDocument/2006/relationships/hyperlink" Target="https://github.com/expertiza/expertiza/pull/811" TargetMode="External"/><Relationship Id="rId267" Type="http://schemas.openxmlformats.org/officeDocument/2006/relationships/hyperlink" Target="https://github.com/expertiza/expertiza/pull/435" TargetMode="External"/><Relationship Id="rId7" Type="http://schemas.openxmlformats.org/officeDocument/2006/relationships/hyperlink" Target="https://github.com/expertiza/expertiza/pull/1146" TargetMode="External"/><Relationship Id="rId145" Type="http://schemas.openxmlformats.org/officeDocument/2006/relationships/hyperlink" Target="https://github.com/expertiza/expertiza/pull/811" TargetMode="External"/><Relationship Id="rId266" Type="http://schemas.openxmlformats.org/officeDocument/2006/relationships/hyperlink" Target="https://github.com/expertiza/expertiza/pull/446" TargetMode="External"/><Relationship Id="rId8" Type="http://schemas.openxmlformats.org/officeDocument/2006/relationships/hyperlink" Target="https://github.com/expertiza/expertiza/pull/1169" TargetMode="External"/><Relationship Id="rId144" Type="http://schemas.openxmlformats.org/officeDocument/2006/relationships/hyperlink" Target="https://github.com/expertiza/expertiza/pull/804" TargetMode="External"/><Relationship Id="rId265" Type="http://schemas.openxmlformats.org/officeDocument/2006/relationships/hyperlink" Target="https://github.com/expertiza/expertiza/pull/438" TargetMode="External"/><Relationship Id="rId73" Type="http://schemas.openxmlformats.org/officeDocument/2006/relationships/hyperlink" Target="https://github.com/expertiza/expertiza/pull/1106" TargetMode="External"/><Relationship Id="rId72" Type="http://schemas.openxmlformats.org/officeDocument/2006/relationships/hyperlink" Target="https://github.com/expertiza/expertiza/pull/1133" TargetMode="External"/><Relationship Id="rId75" Type="http://schemas.openxmlformats.org/officeDocument/2006/relationships/hyperlink" Target="https://github.com/expertiza/expertiza/pull/1118" TargetMode="External"/><Relationship Id="rId74" Type="http://schemas.openxmlformats.org/officeDocument/2006/relationships/hyperlink" Target="https://github.com/expertiza/expertiza/pull/1094" TargetMode="External"/><Relationship Id="rId77" Type="http://schemas.openxmlformats.org/officeDocument/2006/relationships/hyperlink" Target="https://github.com/expertiza/expertiza/pull/1105" TargetMode="External"/><Relationship Id="rId260" Type="http://schemas.openxmlformats.org/officeDocument/2006/relationships/hyperlink" Target="https://github.com/expertiza/expertiza/pull/459" TargetMode="External"/><Relationship Id="rId76" Type="http://schemas.openxmlformats.org/officeDocument/2006/relationships/hyperlink" Target="https://github.com/expertiza/expertiza/pull/1114" TargetMode="External"/><Relationship Id="rId79" Type="http://schemas.openxmlformats.org/officeDocument/2006/relationships/hyperlink" Target="https://github.com/expertiza/expertiza/pull/1095" TargetMode="External"/><Relationship Id="rId78" Type="http://schemas.openxmlformats.org/officeDocument/2006/relationships/hyperlink" Target="https://github.com/expertiza/expertiza/pull/1101" TargetMode="External"/><Relationship Id="rId71" Type="http://schemas.openxmlformats.org/officeDocument/2006/relationships/hyperlink" Target="https://github.com/expertiza/expertiza/pull/1110" TargetMode="External"/><Relationship Id="rId70" Type="http://schemas.openxmlformats.org/officeDocument/2006/relationships/hyperlink" Target="https://github.com/expertiza/expertiza/pull/1116" TargetMode="External"/><Relationship Id="rId139" Type="http://schemas.openxmlformats.org/officeDocument/2006/relationships/hyperlink" Target="https://github.com/expertiza/expertiza/pull/763" TargetMode="External"/><Relationship Id="rId138" Type="http://schemas.openxmlformats.org/officeDocument/2006/relationships/hyperlink" Target="https://github.com/expertiza/expertiza/pull/827" TargetMode="External"/><Relationship Id="rId259" Type="http://schemas.openxmlformats.org/officeDocument/2006/relationships/hyperlink" Target="https://github.com/expertiza/expertiza/pull/544" TargetMode="External"/><Relationship Id="rId137" Type="http://schemas.openxmlformats.org/officeDocument/2006/relationships/hyperlink" Target="https://github.com/expertiza/expertiza/pull/786" TargetMode="External"/><Relationship Id="rId258" Type="http://schemas.openxmlformats.org/officeDocument/2006/relationships/hyperlink" Target="https://github.com/expertiza/expertiza/pull/546" TargetMode="External"/><Relationship Id="rId132" Type="http://schemas.openxmlformats.org/officeDocument/2006/relationships/hyperlink" Target="https://github.com/expertiza/expertiza/pull/777" TargetMode="External"/><Relationship Id="rId253" Type="http://schemas.openxmlformats.org/officeDocument/2006/relationships/hyperlink" Target="https://github.com/expertiza/expertiza/pull/531" TargetMode="External"/><Relationship Id="rId131" Type="http://schemas.openxmlformats.org/officeDocument/2006/relationships/hyperlink" Target="https://github.com/expertiza/expertiza/pull/788" TargetMode="External"/><Relationship Id="rId252" Type="http://schemas.openxmlformats.org/officeDocument/2006/relationships/hyperlink" Target="https://github.com/expertiza/expertiza/pull/506" TargetMode="External"/><Relationship Id="rId130" Type="http://schemas.openxmlformats.org/officeDocument/2006/relationships/hyperlink" Target="https://github.com/expertiza/expertiza/pull/794" TargetMode="External"/><Relationship Id="rId251" Type="http://schemas.openxmlformats.org/officeDocument/2006/relationships/hyperlink" Target="https://github.com/expertiza/expertiza/pull/528" TargetMode="External"/><Relationship Id="rId250" Type="http://schemas.openxmlformats.org/officeDocument/2006/relationships/hyperlink" Target="https://github.com/expertiza/expertiza/pull/505" TargetMode="External"/><Relationship Id="rId136" Type="http://schemas.openxmlformats.org/officeDocument/2006/relationships/hyperlink" Target="https://github.com/expertiza/expertiza/pull/751" TargetMode="External"/><Relationship Id="rId257" Type="http://schemas.openxmlformats.org/officeDocument/2006/relationships/hyperlink" Target="https://github.com/expertiza/expertiza/pull/547" TargetMode="External"/><Relationship Id="rId135" Type="http://schemas.openxmlformats.org/officeDocument/2006/relationships/hyperlink" Target="https://github.com/expertiza/expertiza/pull/810" TargetMode="External"/><Relationship Id="rId256" Type="http://schemas.openxmlformats.org/officeDocument/2006/relationships/hyperlink" Target="https://github.com/expertiza/expertiza/pull/541" TargetMode="External"/><Relationship Id="rId134" Type="http://schemas.openxmlformats.org/officeDocument/2006/relationships/hyperlink" Target="https://github.com/expertiza/expertiza/pull/799" TargetMode="External"/><Relationship Id="rId255" Type="http://schemas.openxmlformats.org/officeDocument/2006/relationships/hyperlink" Target="https://github.com/expertiza/expertiza/pull/548" TargetMode="External"/><Relationship Id="rId133" Type="http://schemas.openxmlformats.org/officeDocument/2006/relationships/hyperlink" Target="https://github.com/expertiza/expertiza/pull/781" TargetMode="External"/><Relationship Id="rId254" Type="http://schemas.openxmlformats.org/officeDocument/2006/relationships/hyperlink" Target="https://github.com/expertiza/expertiza/pull/533" TargetMode="External"/><Relationship Id="rId62" Type="http://schemas.openxmlformats.org/officeDocument/2006/relationships/hyperlink" Target="https://github.com/expertiza/expertiza/pull/1039" TargetMode="External"/><Relationship Id="rId61" Type="http://schemas.openxmlformats.org/officeDocument/2006/relationships/hyperlink" Target="https://github.com/expertiza/expertiza/pull/1078" TargetMode="External"/><Relationship Id="rId64" Type="http://schemas.openxmlformats.org/officeDocument/2006/relationships/hyperlink" Target="https://github.com/expertiza/expertiza/pull/1135" TargetMode="External"/><Relationship Id="rId63" Type="http://schemas.openxmlformats.org/officeDocument/2006/relationships/hyperlink" Target="https://github.com/expertiza/expertiza/pull/1058" TargetMode="External"/><Relationship Id="rId66" Type="http://schemas.openxmlformats.org/officeDocument/2006/relationships/hyperlink" Target="https://github.com/expertiza/expertiza/pull/1124" TargetMode="External"/><Relationship Id="rId172" Type="http://schemas.openxmlformats.org/officeDocument/2006/relationships/hyperlink" Target="https://github.com/expertiza/expertiza/pull/855" TargetMode="External"/><Relationship Id="rId293" Type="http://schemas.openxmlformats.org/officeDocument/2006/relationships/hyperlink" Target="https://github.com/expertiza/expertiza/pull/411" TargetMode="External"/><Relationship Id="rId65" Type="http://schemas.openxmlformats.org/officeDocument/2006/relationships/hyperlink" Target="https://github.com/expertiza/expertiza/pull/1130" TargetMode="External"/><Relationship Id="rId171" Type="http://schemas.openxmlformats.org/officeDocument/2006/relationships/hyperlink" Target="https://github.com/expertiza/expertiza/pull/854" TargetMode="External"/><Relationship Id="rId292" Type="http://schemas.openxmlformats.org/officeDocument/2006/relationships/hyperlink" Target="https://github.com/expertiza/expertiza/pull/410" TargetMode="External"/><Relationship Id="rId68" Type="http://schemas.openxmlformats.org/officeDocument/2006/relationships/hyperlink" Target="https://github.com/expertiza/expertiza/pull/1129" TargetMode="External"/><Relationship Id="rId170" Type="http://schemas.openxmlformats.org/officeDocument/2006/relationships/hyperlink" Target="https://github.com/expertiza/expertiza/pull/880" TargetMode="External"/><Relationship Id="rId291" Type="http://schemas.openxmlformats.org/officeDocument/2006/relationships/hyperlink" Target="https://github.com/expertiza/expertiza/pull/416" TargetMode="External"/><Relationship Id="rId67" Type="http://schemas.openxmlformats.org/officeDocument/2006/relationships/hyperlink" Target="https://github.com/expertiza/expertiza/pull/1107" TargetMode="External"/><Relationship Id="rId290" Type="http://schemas.openxmlformats.org/officeDocument/2006/relationships/hyperlink" Target="https://github.com/expertiza/expertiza/pull/411" TargetMode="External"/><Relationship Id="rId60" Type="http://schemas.openxmlformats.org/officeDocument/2006/relationships/hyperlink" Target="https://github.com/expertiza/expertiza/pull/1018" TargetMode="External"/><Relationship Id="rId165" Type="http://schemas.openxmlformats.org/officeDocument/2006/relationships/hyperlink" Target="https://github.com/expertiza/expertiza/pull/859" TargetMode="External"/><Relationship Id="rId286" Type="http://schemas.openxmlformats.org/officeDocument/2006/relationships/hyperlink" Target="https://github.com/expertiza/expertiza/pull/457" TargetMode="External"/><Relationship Id="rId69" Type="http://schemas.openxmlformats.org/officeDocument/2006/relationships/hyperlink" Target="https://github.com/expertiza/expertiza/pull/1113" TargetMode="External"/><Relationship Id="rId164" Type="http://schemas.openxmlformats.org/officeDocument/2006/relationships/hyperlink" Target="https://github.com/expertiza/expertiza/pull/894" TargetMode="External"/><Relationship Id="rId285" Type="http://schemas.openxmlformats.org/officeDocument/2006/relationships/hyperlink" Target="https://github.com/expertiza/expertiza/pull/468" TargetMode="External"/><Relationship Id="rId163" Type="http://schemas.openxmlformats.org/officeDocument/2006/relationships/hyperlink" Target="https://github.com/expertiza/expertiza/pull/886" TargetMode="External"/><Relationship Id="rId284" Type="http://schemas.openxmlformats.org/officeDocument/2006/relationships/hyperlink" Target="https://github.com/expertiza/expertiza/pull/462" TargetMode="External"/><Relationship Id="rId162" Type="http://schemas.openxmlformats.org/officeDocument/2006/relationships/hyperlink" Target="https://github.com/expertiza/expertiza/pull/888" TargetMode="External"/><Relationship Id="rId283" Type="http://schemas.openxmlformats.org/officeDocument/2006/relationships/hyperlink" Target="https://github.com/expertiza/expertiza/pull/464" TargetMode="External"/><Relationship Id="rId169" Type="http://schemas.openxmlformats.org/officeDocument/2006/relationships/hyperlink" Target="https://github.com/expertiza/expertiza/pull/882" TargetMode="External"/><Relationship Id="rId168" Type="http://schemas.openxmlformats.org/officeDocument/2006/relationships/hyperlink" Target="https://github.com/expertiza/expertiza/pull/867" TargetMode="External"/><Relationship Id="rId289" Type="http://schemas.openxmlformats.org/officeDocument/2006/relationships/hyperlink" Target="https://github.com/expertiza/expertiza/pull/414" TargetMode="External"/><Relationship Id="rId167" Type="http://schemas.openxmlformats.org/officeDocument/2006/relationships/hyperlink" Target="https://github.com/expertiza/expertiza/pull/869" TargetMode="External"/><Relationship Id="rId288" Type="http://schemas.openxmlformats.org/officeDocument/2006/relationships/hyperlink" Target="https://github.com/expertiza/expertiza/pull/412" TargetMode="External"/><Relationship Id="rId166" Type="http://schemas.openxmlformats.org/officeDocument/2006/relationships/hyperlink" Target="https://github.com/expertiza/expertiza/pull/874" TargetMode="External"/><Relationship Id="rId287" Type="http://schemas.openxmlformats.org/officeDocument/2006/relationships/hyperlink" Target="https://github.com/expertiza/expertiza/pull/465" TargetMode="External"/><Relationship Id="rId51" Type="http://schemas.openxmlformats.org/officeDocument/2006/relationships/hyperlink" Target="https://github.com/expertiza/expertiza/pull/1031" TargetMode="External"/><Relationship Id="rId50" Type="http://schemas.openxmlformats.org/officeDocument/2006/relationships/hyperlink" Target="https://github.com/expertiza/expertiza/pull/1031" TargetMode="External"/><Relationship Id="rId53" Type="http://schemas.openxmlformats.org/officeDocument/2006/relationships/hyperlink" Target="https://github.com/expertiza/expertiza/pull/1059" TargetMode="External"/><Relationship Id="rId52" Type="http://schemas.openxmlformats.org/officeDocument/2006/relationships/hyperlink" Target="https://github.com/expertiza/expertiza/pull/1044" TargetMode="External"/><Relationship Id="rId55" Type="http://schemas.openxmlformats.org/officeDocument/2006/relationships/hyperlink" Target="https://github.com/expertiza/expertiza/pull/1028" TargetMode="External"/><Relationship Id="rId161" Type="http://schemas.openxmlformats.org/officeDocument/2006/relationships/hyperlink" Target="https://github.com/expertiza/expertiza/pull/878" TargetMode="External"/><Relationship Id="rId282" Type="http://schemas.openxmlformats.org/officeDocument/2006/relationships/hyperlink" Target="https://github.com/expertiza/expertiza/pull/471" TargetMode="External"/><Relationship Id="rId54" Type="http://schemas.openxmlformats.org/officeDocument/2006/relationships/hyperlink" Target="https://github.com/expertiza/expertiza/pull/1136" TargetMode="External"/><Relationship Id="rId160" Type="http://schemas.openxmlformats.org/officeDocument/2006/relationships/hyperlink" Target="https://github.com/expertiza/expertiza/pull/858" TargetMode="External"/><Relationship Id="rId281" Type="http://schemas.openxmlformats.org/officeDocument/2006/relationships/hyperlink" Target="https://github.com/expertiza/expertiza/pull/460" TargetMode="External"/><Relationship Id="rId57" Type="http://schemas.openxmlformats.org/officeDocument/2006/relationships/hyperlink" Target="https://github.com/expertiza/expertiza/pull/1040" TargetMode="External"/><Relationship Id="rId280" Type="http://schemas.openxmlformats.org/officeDocument/2006/relationships/hyperlink" Target="https://github.com/expertiza/expertiza/pull/461" TargetMode="External"/><Relationship Id="rId56" Type="http://schemas.openxmlformats.org/officeDocument/2006/relationships/hyperlink" Target="https://github.com/expertiza/expertiza/pull/1042" TargetMode="External"/><Relationship Id="rId159" Type="http://schemas.openxmlformats.org/officeDocument/2006/relationships/hyperlink" Target="https://github.com/expertiza/expertiza/pull/851" TargetMode="External"/><Relationship Id="rId59" Type="http://schemas.openxmlformats.org/officeDocument/2006/relationships/hyperlink" Target="https://github.com/expertiza/expertiza/pull/1053" TargetMode="External"/><Relationship Id="rId154" Type="http://schemas.openxmlformats.org/officeDocument/2006/relationships/hyperlink" Target="https://github.com/expertiza/expertiza/pull/832" TargetMode="External"/><Relationship Id="rId275" Type="http://schemas.openxmlformats.org/officeDocument/2006/relationships/hyperlink" Target="https://github.com/expertiza/expertiza/pull/436" TargetMode="External"/><Relationship Id="rId58" Type="http://schemas.openxmlformats.org/officeDocument/2006/relationships/hyperlink" Target="https://github.com/expertiza/expertiza/pull/1070" TargetMode="External"/><Relationship Id="rId153" Type="http://schemas.openxmlformats.org/officeDocument/2006/relationships/hyperlink" Target="https://github.com/expertiza/expertiza/pull/800" TargetMode="External"/><Relationship Id="rId274" Type="http://schemas.openxmlformats.org/officeDocument/2006/relationships/hyperlink" Target="https://github.com/expertiza/expertiza/pull/434" TargetMode="External"/><Relationship Id="rId152" Type="http://schemas.openxmlformats.org/officeDocument/2006/relationships/hyperlink" Target="https://github.com/expertiza/expertiza/pull/819" TargetMode="External"/><Relationship Id="rId273" Type="http://schemas.openxmlformats.org/officeDocument/2006/relationships/hyperlink" Target="https://github.com/expertiza/expertiza/pull/441" TargetMode="External"/><Relationship Id="rId151" Type="http://schemas.openxmlformats.org/officeDocument/2006/relationships/hyperlink" Target="https://github.com/expertiza/expertiza/pull/792" TargetMode="External"/><Relationship Id="rId272" Type="http://schemas.openxmlformats.org/officeDocument/2006/relationships/hyperlink" Target="https://github.com/expertiza/expertiza/pull/449" TargetMode="External"/><Relationship Id="rId158" Type="http://schemas.openxmlformats.org/officeDocument/2006/relationships/hyperlink" Target="https://github.com/expertiza/expertiza/pull/892" TargetMode="External"/><Relationship Id="rId279" Type="http://schemas.openxmlformats.org/officeDocument/2006/relationships/hyperlink" Target="https://github.com/expertiza/expertiza/pull/469" TargetMode="External"/><Relationship Id="rId157" Type="http://schemas.openxmlformats.org/officeDocument/2006/relationships/hyperlink" Target="https://github.com/expertiza/expertiza/pull/860" TargetMode="External"/><Relationship Id="rId278" Type="http://schemas.openxmlformats.org/officeDocument/2006/relationships/hyperlink" Target="https://github.com/expertiza/expertiza/pull/466" TargetMode="External"/><Relationship Id="rId156" Type="http://schemas.openxmlformats.org/officeDocument/2006/relationships/hyperlink" Target="https://github.com/expertiza/expertiza/pull/782" TargetMode="External"/><Relationship Id="rId277" Type="http://schemas.openxmlformats.org/officeDocument/2006/relationships/hyperlink" Target="https://github.com/expertiza/expertiza/pull/458" TargetMode="External"/><Relationship Id="rId155" Type="http://schemas.openxmlformats.org/officeDocument/2006/relationships/hyperlink" Target="https://github.com/expertiza/expertiza/pull/791" TargetMode="External"/><Relationship Id="rId276" Type="http://schemas.openxmlformats.org/officeDocument/2006/relationships/hyperlink" Target="https://github.com/expertiza/expertiza/pull/444" TargetMode="External"/><Relationship Id="rId107" Type="http://schemas.openxmlformats.org/officeDocument/2006/relationships/hyperlink" Target="https://github.com/expertiza/expertiza/pull/937" TargetMode="External"/><Relationship Id="rId228" Type="http://schemas.openxmlformats.org/officeDocument/2006/relationships/hyperlink" Target="https://github.com/expertiza/expertiza/pull/616" TargetMode="External"/><Relationship Id="rId106" Type="http://schemas.openxmlformats.org/officeDocument/2006/relationships/hyperlink" Target="https://github.com/expertiza/expertiza/pull/954" TargetMode="External"/><Relationship Id="rId227" Type="http://schemas.openxmlformats.org/officeDocument/2006/relationships/hyperlink" Target="https://github.com/expertiza/expertiza/pull/608" TargetMode="External"/><Relationship Id="rId105" Type="http://schemas.openxmlformats.org/officeDocument/2006/relationships/hyperlink" Target="https://github.com/expertiza/expertiza/pull/944" TargetMode="External"/><Relationship Id="rId226" Type="http://schemas.openxmlformats.org/officeDocument/2006/relationships/hyperlink" Target="https://github.com/expertiza/expertiza/pull/587" TargetMode="External"/><Relationship Id="rId104" Type="http://schemas.openxmlformats.org/officeDocument/2006/relationships/hyperlink" Target="https://github.com/expertiza/expertiza/pull/920" TargetMode="External"/><Relationship Id="rId225" Type="http://schemas.openxmlformats.org/officeDocument/2006/relationships/hyperlink" Target="https://github.com/expertiza/expertiza/pull/592" TargetMode="External"/><Relationship Id="rId109" Type="http://schemas.openxmlformats.org/officeDocument/2006/relationships/hyperlink" Target="https://github.com/expertiza/expertiza/pull/947" TargetMode="External"/><Relationship Id="rId108" Type="http://schemas.openxmlformats.org/officeDocument/2006/relationships/hyperlink" Target="https://github.com/expertiza/expertiza/pull/948" TargetMode="External"/><Relationship Id="rId229" Type="http://schemas.openxmlformats.org/officeDocument/2006/relationships/hyperlink" Target="https://github.com/expertiza/expertiza/pull/615" TargetMode="External"/><Relationship Id="rId220" Type="http://schemas.openxmlformats.org/officeDocument/2006/relationships/hyperlink" Target="https://github.com/expertiza/expertiza/pull/596" TargetMode="External"/><Relationship Id="rId341" Type="http://schemas.openxmlformats.org/officeDocument/2006/relationships/drawing" Target="../drawings/drawing4.xml"/><Relationship Id="rId340" Type="http://schemas.openxmlformats.org/officeDocument/2006/relationships/hyperlink" Target="https://github.com/expertiza/expertiza/pull/229" TargetMode="External"/><Relationship Id="rId103" Type="http://schemas.openxmlformats.org/officeDocument/2006/relationships/hyperlink" Target="https://github.com/expertiza/expertiza/pull/915" TargetMode="External"/><Relationship Id="rId224" Type="http://schemas.openxmlformats.org/officeDocument/2006/relationships/hyperlink" Target="https://github.com/expertiza/expertiza/pull/591" TargetMode="External"/><Relationship Id="rId102" Type="http://schemas.openxmlformats.org/officeDocument/2006/relationships/hyperlink" Target="https://github.com/expertiza/expertiza/pull/911" TargetMode="External"/><Relationship Id="rId223" Type="http://schemas.openxmlformats.org/officeDocument/2006/relationships/hyperlink" Target="https://github.com/expertiza/expertiza/pull/584" TargetMode="External"/><Relationship Id="rId101" Type="http://schemas.openxmlformats.org/officeDocument/2006/relationships/hyperlink" Target="https://github.com/expertiza/expertiza/pull/913" TargetMode="External"/><Relationship Id="rId222" Type="http://schemas.openxmlformats.org/officeDocument/2006/relationships/hyperlink" Target="https://github.com/expertiza/expertiza/pull/609" TargetMode="External"/><Relationship Id="rId100" Type="http://schemas.openxmlformats.org/officeDocument/2006/relationships/hyperlink" Target="https://github.com/expertiza/expertiza/pull/912" TargetMode="External"/><Relationship Id="rId221" Type="http://schemas.openxmlformats.org/officeDocument/2006/relationships/hyperlink" Target="https://github.com/expertiza/expertiza/pull/599" TargetMode="External"/><Relationship Id="rId217" Type="http://schemas.openxmlformats.org/officeDocument/2006/relationships/hyperlink" Target="https://github.com/expertiza/expertiza/pull/612" TargetMode="External"/><Relationship Id="rId338" Type="http://schemas.openxmlformats.org/officeDocument/2006/relationships/hyperlink" Target="https://github.com/expertiza/expertiza/pull/233" TargetMode="External"/><Relationship Id="rId216" Type="http://schemas.openxmlformats.org/officeDocument/2006/relationships/hyperlink" Target="https://github.com/expertiza/expertiza/pull/607" TargetMode="External"/><Relationship Id="rId337" Type="http://schemas.openxmlformats.org/officeDocument/2006/relationships/hyperlink" Target="https://github.com/expertiza/expertiza/pull/235" TargetMode="External"/><Relationship Id="rId215" Type="http://schemas.openxmlformats.org/officeDocument/2006/relationships/hyperlink" Target="https://github.com/expertiza/expertiza/pull/589" TargetMode="External"/><Relationship Id="rId336" Type="http://schemas.openxmlformats.org/officeDocument/2006/relationships/hyperlink" Target="https://github.com/expertiza/expertiza/pull/232" TargetMode="External"/><Relationship Id="rId214" Type="http://schemas.openxmlformats.org/officeDocument/2006/relationships/hyperlink" Target="https://github.com/expertiza/expertiza/pull/619" TargetMode="External"/><Relationship Id="rId335" Type="http://schemas.openxmlformats.org/officeDocument/2006/relationships/hyperlink" Target="https://github.com/expertiza/expertiza/pull/236" TargetMode="External"/><Relationship Id="rId219" Type="http://schemas.openxmlformats.org/officeDocument/2006/relationships/hyperlink" Target="https://github.com/expertiza/expertiza/pull/610" TargetMode="External"/><Relationship Id="rId218" Type="http://schemas.openxmlformats.org/officeDocument/2006/relationships/hyperlink" Target="https://github.com/expertiza/expertiza/pull/603" TargetMode="External"/><Relationship Id="rId339" Type="http://schemas.openxmlformats.org/officeDocument/2006/relationships/hyperlink" Target="https://github.com/expertiza/expertiza/pull/239" TargetMode="External"/><Relationship Id="rId330" Type="http://schemas.openxmlformats.org/officeDocument/2006/relationships/hyperlink" Target="https://github.com/expertiza/expertiza/pull/269" TargetMode="External"/><Relationship Id="rId213" Type="http://schemas.openxmlformats.org/officeDocument/2006/relationships/hyperlink" Target="https://github.com/expertiza/expertiza/pull/605" TargetMode="External"/><Relationship Id="rId334" Type="http://schemas.openxmlformats.org/officeDocument/2006/relationships/hyperlink" Target="https://github.com/expertiza/expertiza/pull/265" TargetMode="External"/><Relationship Id="rId212" Type="http://schemas.openxmlformats.org/officeDocument/2006/relationships/hyperlink" Target="https://github.com/expertiza/expertiza/pull/595" TargetMode="External"/><Relationship Id="rId333" Type="http://schemas.openxmlformats.org/officeDocument/2006/relationships/hyperlink" Target="https://github.com/expertiza/expertiza/pull/238" TargetMode="External"/><Relationship Id="rId211" Type="http://schemas.openxmlformats.org/officeDocument/2006/relationships/hyperlink" Target="https://github.com/expertiza/expertiza/pull/585" TargetMode="External"/><Relationship Id="rId332" Type="http://schemas.openxmlformats.org/officeDocument/2006/relationships/hyperlink" Target="https://github.com/expertiza/expertiza/pull/237" TargetMode="External"/><Relationship Id="rId210" Type="http://schemas.openxmlformats.org/officeDocument/2006/relationships/hyperlink" Target="https://github.com/expertiza/expertiza/pull/614" TargetMode="External"/><Relationship Id="rId331" Type="http://schemas.openxmlformats.org/officeDocument/2006/relationships/hyperlink" Target="https://github.com/expertiza/expertiza/pull/231" TargetMode="External"/><Relationship Id="rId129" Type="http://schemas.openxmlformats.org/officeDocument/2006/relationships/hyperlink" Target="https://github.com/expertiza/expertiza/pull/816" TargetMode="External"/><Relationship Id="rId128" Type="http://schemas.openxmlformats.org/officeDocument/2006/relationships/hyperlink" Target="https://github.com/expertiza/expertiza/pull/744" TargetMode="External"/><Relationship Id="rId249" Type="http://schemas.openxmlformats.org/officeDocument/2006/relationships/hyperlink" Target="https://github.com/expertiza/expertiza/pull/509" TargetMode="External"/><Relationship Id="rId127" Type="http://schemas.openxmlformats.org/officeDocument/2006/relationships/hyperlink" Target="https://github.com/expertiza/expertiza/pull/803" TargetMode="External"/><Relationship Id="rId248" Type="http://schemas.openxmlformats.org/officeDocument/2006/relationships/hyperlink" Target="https://github.com/expertiza/expertiza/pull/508" TargetMode="External"/><Relationship Id="rId126" Type="http://schemas.openxmlformats.org/officeDocument/2006/relationships/hyperlink" Target="https://github.com/expertiza/expertiza/pull/826" TargetMode="External"/><Relationship Id="rId247" Type="http://schemas.openxmlformats.org/officeDocument/2006/relationships/hyperlink" Target="https://github.com/expertiza/expertiza/pull/507" TargetMode="External"/><Relationship Id="rId121" Type="http://schemas.openxmlformats.org/officeDocument/2006/relationships/hyperlink" Target="https://github.com/expertiza/expertiza/pull/822" TargetMode="External"/><Relationship Id="rId242" Type="http://schemas.openxmlformats.org/officeDocument/2006/relationships/hyperlink" Target="https://github.com/expertiza/expertiza/pull/639" TargetMode="External"/><Relationship Id="rId120" Type="http://schemas.openxmlformats.org/officeDocument/2006/relationships/hyperlink" Target="https://github.com/expertiza/expertiza/pull/824" TargetMode="External"/><Relationship Id="rId241" Type="http://schemas.openxmlformats.org/officeDocument/2006/relationships/hyperlink" Target="https://github.com/expertiza/expertiza/pull/624" TargetMode="External"/><Relationship Id="rId240" Type="http://schemas.openxmlformats.org/officeDocument/2006/relationships/hyperlink" Target="https://github.com/expertiza/expertiza/pull/628" TargetMode="External"/><Relationship Id="rId125" Type="http://schemas.openxmlformats.org/officeDocument/2006/relationships/hyperlink" Target="https://github.com/expertiza/expertiza/pull/797" TargetMode="External"/><Relationship Id="rId246" Type="http://schemas.openxmlformats.org/officeDocument/2006/relationships/hyperlink" Target="https://github.com/expertiza/expertiza/pull/530" TargetMode="External"/><Relationship Id="rId124" Type="http://schemas.openxmlformats.org/officeDocument/2006/relationships/hyperlink" Target="https://github.com/expertiza/expertiza/pull/836" TargetMode="External"/><Relationship Id="rId245" Type="http://schemas.openxmlformats.org/officeDocument/2006/relationships/hyperlink" Target="https://github.com/expertiza/expertiza/pull/510" TargetMode="External"/><Relationship Id="rId123" Type="http://schemas.openxmlformats.org/officeDocument/2006/relationships/hyperlink" Target="https://github.com/expertiza/expertiza/pull/795" TargetMode="External"/><Relationship Id="rId244" Type="http://schemas.openxmlformats.org/officeDocument/2006/relationships/hyperlink" Target="https://github.com/expertiza/expertiza/pull/626" TargetMode="External"/><Relationship Id="rId122" Type="http://schemas.openxmlformats.org/officeDocument/2006/relationships/hyperlink" Target="https://github.com/expertiza/expertiza/pull/779" TargetMode="External"/><Relationship Id="rId243" Type="http://schemas.openxmlformats.org/officeDocument/2006/relationships/hyperlink" Target="https://github.com/expertiza/expertiza/pull/625" TargetMode="External"/><Relationship Id="rId95" Type="http://schemas.openxmlformats.org/officeDocument/2006/relationships/hyperlink" Target="https://github.com/expertiza/expertiza/pull/924" TargetMode="External"/><Relationship Id="rId94" Type="http://schemas.openxmlformats.org/officeDocument/2006/relationships/hyperlink" Target="https://github.com/expertiza/expertiza/pull/923" TargetMode="External"/><Relationship Id="rId97" Type="http://schemas.openxmlformats.org/officeDocument/2006/relationships/hyperlink" Target="https://github.com/expertiza/expertiza/pull/921" TargetMode="External"/><Relationship Id="rId96" Type="http://schemas.openxmlformats.org/officeDocument/2006/relationships/hyperlink" Target="https://github.com/expertiza/expertiza/pull/931" TargetMode="External"/><Relationship Id="rId99" Type="http://schemas.openxmlformats.org/officeDocument/2006/relationships/hyperlink" Target="https://github.com/expertiza/expertiza/pull/910" TargetMode="External"/><Relationship Id="rId98" Type="http://schemas.openxmlformats.org/officeDocument/2006/relationships/hyperlink" Target="https://github.com/expertiza/expertiza/pull/917" TargetMode="External"/><Relationship Id="rId91" Type="http://schemas.openxmlformats.org/officeDocument/2006/relationships/hyperlink" Target="https://github.com/expertiza/expertiza/pull/922" TargetMode="External"/><Relationship Id="rId90" Type="http://schemas.openxmlformats.org/officeDocument/2006/relationships/hyperlink" Target="https://github.com/expertiza/expertiza/pull/925" TargetMode="External"/><Relationship Id="rId93" Type="http://schemas.openxmlformats.org/officeDocument/2006/relationships/hyperlink" Target="https://github.com/expertiza/expertiza/pull/916" TargetMode="External"/><Relationship Id="rId92" Type="http://schemas.openxmlformats.org/officeDocument/2006/relationships/hyperlink" Target="https://github.com/expertiza/expertiza/pull/930" TargetMode="External"/><Relationship Id="rId118" Type="http://schemas.openxmlformats.org/officeDocument/2006/relationships/hyperlink" Target="https://github.com/expertiza/expertiza/pull/837" TargetMode="External"/><Relationship Id="rId239" Type="http://schemas.openxmlformats.org/officeDocument/2006/relationships/hyperlink" Target="https://github.com/expertiza/expertiza/pull/635" TargetMode="External"/><Relationship Id="rId117" Type="http://schemas.openxmlformats.org/officeDocument/2006/relationships/hyperlink" Target="https://github.com/expertiza/expertiza/pull/828" TargetMode="External"/><Relationship Id="rId238" Type="http://schemas.openxmlformats.org/officeDocument/2006/relationships/hyperlink" Target="https://github.com/expertiza/expertiza/pull/643" TargetMode="External"/><Relationship Id="rId116" Type="http://schemas.openxmlformats.org/officeDocument/2006/relationships/hyperlink" Target="https://github.com/expertiza/expertiza/pull/778" TargetMode="External"/><Relationship Id="rId237" Type="http://schemas.openxmlformats.org/officeDocument/2006/relationships/hyperlink" Target="https://github.com/expertiza/expertiza/pull/638" TargetMode="External"/><Relationship Id="rId115" Type="http://schemas.openxmlformats.org/officeDocument/2006/relationships/hyperlink" Target="https://github.com/expertiza/expertiza/pull/943" TargetMode="External"/><Relationship Id="rId236" Type="http://schemas.openxmlformats.org/officeDocument/2006/relationships/hyperlink" Target="https://github.com/expertiza/expertiza/pull/642" TargetMode="External"/><Relationship Id="rId119" Type="http://schemas.openxmlformats.org/officeDocument/2006/relationships/hyperlink" Target="https://github.com/expertiza/expertiza/pull/755" TargetMode="External"/><Relationship Id="rId110" Type="http://schemas.openxmlformats.org/officeDocument/2006/relationships/hyperlink" Target="https://github.com/expertiza/expertiza/pull/951" TargetMode="External"/><Relationship Id="rId231" Type="http://schemas.openxmlformats.org/officeDocument/2006/relationships/hyperlink" Target="https://github.com/expertiza/expertiza/pull/636" TargetMode="External"/><Relationship Id="rId230" Type="http://schemas.openxmlformats.org/officeDocument/2006/relationships/hyperlink" Target="https://github.com/expertiza/expertiza/pull/629" TargetMode="External"/><Relationship Id="rId114" Type="http://schemas.openxmlformats.org/officeDocument/2006/relationships/hyperlink" Target="https://github.com/expertiza/expertiza/pull/952" TargetMode="External"/><Relationship Id="rId235" Type="http://schemas.openxmlformats.org/officeDocument/2006/relationships/hyperlink" Target="https://github.com/expertiza/expertiza/pull/640" TargetMode="External"/><Relationship Id="rId113" Type="http://schemas.openxmlformats.org/officeDocument/2006/relationships/hyperlink" Target="https://github.com/expertiza/expertiza/pull/946" TargetMode="External"/><Relationship Id="rId234" Type="http://schemas.openxmlformats.org/officeDocument/2006/relationships/hyperlink" Target="https://github.com/expertiza/expertiza/pull/641" TargetMode="External"/><Relationship Id="rId112" Type="http://schemas.openxmlformats.org/officeDocument/2006/relationships/hyperlink" Target="https://github.com/expertiza/expertiza/pull/945" TargetMode="External"/><Relationship Id="rId233" Type="http://schemas.openxmlformats.org/officeDocument/2006/relationships/hyperlink" Target="https://github.com/expertiza/expertiza/pull/632" TargetMode="External"/><Relationship Id="rId111" Type="http://schemas.openxmlformats.org/officeDocument/2006/relationships/hyperlink" Target="https://github.com/expertiza/expertiza/pull/949" TargetMode="External"/><Relationship Id="rId232" Type="http://schemas.openxmlformats.org/officeDocument/2006/relationships/hyperlink" Target="https://github.com/expertiza/expertiza/pull/637" TargetMode="External"/><Relationship Id="rId305" Type="http://schemas.openxmlformats.org/officeDocument/2006/relationships/hyperlink" Target="https://github.com/expertiza/expertiza/pull/380" TargetMode="External"/><Relationship Id="rId304" Type="http://schemas.openxmlformats.org/officeDocument/2006/relationships/hyperlink" Target="https://github.com/expertiza/expertiza/pull/379" TargetMode="External"/><Relationship Id="rId303" Type="http://schemas.openxmlformats.org/officeDocument/2006/relationships/hyperlink" Target="https://github.com/expertiza/expertiza/pull/361" TargetMode="External"/><Relationship Id="rId302" Type="http://schemas.openxmlformats.org/officeDocument/2006/relationships/hyperlink" Target="https://github.com/expertiza/expertiza/pull/362" TargetMode="External"/><Relationship Id="rId309" Type="http://schemas.openxmlformats.org/officeDocument/2006/relationships/hyperlink" Target="https://github.com/expertiza/expertiza/pull/393" TargetMode="External"/><Relationship Id="rId308" Type="http://schemas.openxmlformats.org/officeDocument/2006/relationships/hyperlink" Target="https://github.com/expertiza/expertiza/pull/394" TargetMode="External"/><Relationship Id="rId307" Type="http://schemas.openxmlformats.org/officeDocument/2006/relationships/hyperlink" Target="https://github.com/expertiza/expertiza/pull/378" TargetMode="External"/><Relationship Id="rId306" Type="http://schemas.openxmlformats.org/officeDocument/2006/relationships/hyperlink" Target="https://github.com/expertiza/expertiza/pull/382" TargetMode="External"/><Relationship Id="rId301" Type="http://schemas.openxmlformats.org/officeDocument/2006/relationships/hyperlink" Target="https://github.com/expertiza/expertiza/pull/353" TargetMode="External"/><Relationship Id="rId300" Type="http://schemas.openxmlformats.org/officeDocument/2006/relationships/hyperlink" Target="https://github.com/expertiza/expertiza/pull/359" TargetMode="External"/><Relationship Id="rId206" Type="http://schemas.openxmlformats.org/officeDocument/2006/relationships/hyperlink" Target="https://github.com/expertiza/expertiza/pull/601" TargetMode="External"/><Relationship Id="rId327" Type="http://schemas.openxmlformats.org/officeDocument/2006/relationships/hyperlink" Target="https://github.com/expertiza/expertiza/pull/287" TargetMode="External"/><Relationship Id="rId205" Type="http://schemas.openxmlformats.org/officeDocument/2006/relationships/hyperlink" Target="https://github.com/expertiza/expertiza/pull/680" TargetMode="External"/><Relationship Id="rId326" Type="http://schemas.openxmlformats.org/officeDocument/2006/relationships/hyperlink" Target="https://github.com/expertiza/expertiza/pull/224" TargetMode="External"/><Relationship Id="rId204" Type="http://schemas.openxmlformats.org/officeDocument/2006/relationships/hyperlink" Target="https://github.com/expertiza/expertiza/pull/681" TargetMode="External"/><Relationship Id="rId325" Type="http://schemas.openxmlformats.org/officeDocument/2006/relationships/hyperlink" Target="https://github.com/expertiza/expertiza/pull/277" TargetMode="External"/><Relationship Id="rId203" Type="http://schemas.openxmlformats.org/officeDocument/2006/relationships/hyperlink" Target="https://github.com/expertiza/expertiza/pull/676" TargetMode="External"/><Relationship Id="rId324" Type="http://schemas.openxmlformats.org/officeDocument/2006/relationships/hyperlink" Target="https://github.com/expertiza/expertiza/pull/274" TargetMode="External"/><Relationship Id="rId209" Type="http://schemas.openxmlformats.org/officeDocument/2006/relationships/hyperlink" Target="https://github.com/expertiza/expertiza/pull/590" TargetMode="External"/><Relationship Id="rId208" Type="http://schemas.openxmlformats.org/officeDocument/2006/relationships/hyperlink" Target="https://github.com/expertiza/expertiza/pull/602" TargetMode="External"/><Relationship Id="rId329" Type="http://schemas.openxmlformats.org/officeDocument/2006/relationships/hyperlink" Target="https://github.com/expertiza/expertiza/pull/234" TargetMode="External"/><Relationship Id="rId207" Type="http://schemas.openxmlformats.org/officeDocument/2006/relationships/hyperlink" Target="https://github.com/expertiza/expertiza/pull/600" TargetMode="External"/><Relationship Id="rId328" Type="http://schemas.openxmlformats.org/officeDocument/2006/relationships/hyperlink" Target="https://github.com/expertiza/expertiza/pull/244" TargetMode="External"/><Relationship Id="rId202" Type="http://schemas.openxmlformats.org/officeDocument/2006/relationships/hyperlink" Target="https://github.com/expertiza/expertiza/pull/678" TargetMode="External"/><Relationship Id="rId323" Type="http://schemas.openxmlformats.org/officeDocument/2006/relationships/hyperlink" Target="https://github.com/expertiza/expertiza/pull/276" TargetMode="External"/><Relationship Id="rId201" Type="http://schemas.openxmlformats.org/officeDocument/2006/relationships/hyperlink" Target="https://github.com/expertiza/expertiza/pull/673" TargetMode="External"/><Relationship Id="rId322" Type="http://schemas.openxmlformats.org/officeDocument/2006/relationships/hyperlink" Target="https://github.com/expertiza/expertiza/pull/300" TargetMode="External"/><Relationship Id="rId200" Type="http://schemas.openxmlformats.org/officeDocument/2006/relationships/hyperlink" Target="https://github.com/expertiza/expertiza/pull/677" TargetMode="External"/><Relationship Id="rId321" Type="http://schemas.openxmlformats.org/officeDocument/2006/relationships/hyperlink" Target="https://github.com/expertiza/expertiza/pull/263" TargetMode="External"/><Relationship Id="rId320" Type="http://schemas.openxmlformats.org/officeDocument/2006/relationships/hyperlink" Target="https://github.com/expertiza/expertiza/pull/261" TargetMode="External"/><Relationship Id="rId316" Type="http://schemas.openxmlformats.org/officeDocument/2006/relationships/hyperlink" Target="https://github.com/expertiza/expertiza/pull/388" TargetMode="External"/><Relationship Id="rId315" Type="http://schemas.openxmlformats.org/officeDocument/2006/relationships/hyperlink" Target="https://github.com/expertiza/expertiza/pull/383" TargetMode="External"/><Relationship Id="rId314" Type="http://schemas.openxmlformats.org/officeDocument/2006/relationships/hyperlink" Target="https://github.com/expertiza/expertiza/pull/389" TargetMode="External"/><Relationship Id="rId313" Type="http://schemas.openxmlformats.org/officeDocument/2006/relationships/hyperlink" Target="https://github.com/expertiza/expertiza/pull/390" TargetMode="External"/><Relationship Id="rId319" Type="http://schemas.openxmlformats.org/officeDocument/2006/relationships/hyperlink" Target="https://github.com/expertiza/expertiza/pull/260" TargetMode="External"/><Relationship Id="rId318" Type="http://schemas.openxmlformats.org/officeDocument/2006/relationships/hyperlink" Target="https://github.com/expertiza/expertiza/pull/386" TargetMode="External"/><Relationship Id="rId317" Type="http://schemas.openxmlformats.org/officeDocument/2006/relationships/hyperlink" Target="https://github.com/expertiza/expertiza/pull/387" TargetMode="External"/><Relationship Id="rId312" Type="http://schemas.openxmlformats.org/officeDocument/2006/relationships/hyperlink" Target="https://github.com/expertiza/expertiza/pull/397" TargetMode="External"/><Relationship Id="rId311" Type="http://schemas.openxmlformats.org/officeDocument/2006/relationships/hyperlink" Target="https://github.com/expertiza/expertiza/pull/381" TargetMode="External"/><Relationship Id="rId310" Type="http://schemas.openxmlformats.org/officeDocument/2006/relationships/hyperlink" Target="https://github.com/expertiza/expertiza/pull/385"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expertiza/expertiza/pull/1050" TargetMode="External"/><Relationship Id="rId190" Type="http://schemas.openxmlformats.org/officeDocument/2006/relationships/hyperlink" Target="https://github.com/expertiza/expertiza/pull/658" TargetMode="External"/><Relationship Id="rId42" Type="http://schemas.openxmlformats.org/officeDocument/2006/relationships/hyperlink" Target="https://github.com/expertiza/expertiza/pull/1036" TargetMode="External"/><Relationship Id="rId41" Type="http://schemas.openxmlformats.org/officeDocument/2006/relationships/hyperlink" Target="https://github.com/expertiza/expertiza/pull/1055" TargetMode="External"/><Relationship Id="rId44" Type="http://schemas.openxmlformats.org/officeDocument/2006/relationships/hyperlink" Target="https://github.com/expertiza/expertiza/pull/1066" TargetMode="External"/><Relationship Id="rId194" Type="http://schemas.openxmlformats.org/officeDocument/2006/relationships/hyperlink" Target="https://github.com/expertiza/expertiza/pull/661" TargetMode="External"/><Relationship Id="rId43" Type="http://schemas.openxmlformats.org/officeDocument/2006/relationships/hyperlink" Target="https://github.com/expertiza/expertiza/pull/1061" TargetMode="External"/><Relationship Id="rId193" Type="http://schemas.openxmlformats.org/officeDocument/2006/relationships/hyperlink" Target="https://github.com/expertiza/expertiza/pull/666" TargetMode="External"/><Relationship Id="rId46" Type="http://schemas.openxmlformats.org/officeDocument/2006/relationships/hyperlink" Target="https://github.com/expertiza/expertiza/pull/1037" TargetMode="External"/><Relationship Id="rId192" Type="http://schemas.openxmlformats.org/officeDocument/2006/relationships/hyperlink" Target="https://github.com/expertiza/expertiza/pull/652" TargetMode="External"/><Relationship Id="rId45" Type="http://schemas.openxmlformats.org/officeDocument/2006/relationships/hyperlink" Target="https://github.com/expertiza/expertiza/pull/1063" TargetMode="External"/><Relationship Id="rId191" Type="http://schemas.openxmlformats.org/officeDocument/2006/relationships/hyperlink" Target="https://github.com/expertiza/expertiza/pull/664" TargetMode="External"/><Relationship Id="rId48" Type="http://schemas.openxmlformats.org/officeDocument/2006/relationships/hyperlink" Target="https://github.com/expertiza/expertiza/pull/1043" TargetMode="External"/><Relationship Id="rId187" Type="http://schemas.openxmlformats.org/officeDocument/2006/relationships/hyperlink" Target="https://github.com/expertiza/expertiza/pull/663" TargetMode="External"/><Relationship Id="rId47" Type="http://schemas.openxmlformats.org/officeDocument/2006/relationships/hyperlink" Target="https://github.com/expertiza/expertiza/pull/1049" TargetMode="External"/><Relationship Id="rId186" Type="http://schemas.openxmlformats.org/officeDocument/2006/relationships/hyperlink" Target="https://github.com/expertiza/expertiza/pull/655" TargetMode="External"/><Relationship Id="rId185" Type="http://schemas.openxmlformats.org/officeDocument/2006/relationships/hyperlink" Target="https://github.com/expertiza/expertiza/pull/656" TargetMode="External"/><Relationship Id="rId49" Type="http://schemas.openxmlformats.org/officeDocument/2006/relationships/hyperlink" Target="https://github.com/expertiza/expertiza/pull/1027" TargetMode="External"/><Relationship Id="rId184" Type="http://schemas.openxmlformats.org/officeDocument/2006/relationships/hyperlink" Target="https://github.com/expertiza/expertiza/pull/870" TargetMode="External"/><Relationship Id="rId189" Type="http://schemas.openxmlformats.org/officeDocument/2006/relationships/hyperlink" Target="https://github.com/expertiza/expertiza/pull/654" TargetMode="External"/><Relationship Id="rId188" Type="http://schemas.openxmlformats.org/officeDocument/2006/relationships/hyperlink" Target="https://github.com/expertiza/expertiza/pull/662" TargetMode="External"/><Relationship Id="rId31" Type="http://schemas.openxmlformats.org/officeDocument/2006/relationships/hyperlink" Target="https://github.com/expertiza/expertiza/pull/1069" TargetMode="External"/><Relationship Id="rId30" Type="http://schemas.openxmlformats.org/officeDocument/2006/relationships/hyperlink" Target="https://github.com/expertiza/expertiza/pull/1060" TargetMode="External"/><Relationship Id="rId33" Type="http://schemas.openxmlformats.org/officeDocument/2006/relationships/hyperlink" Target="https://github.com/expertiza/expertiza/pull/1052" TargetMode="External"/><Relationship Id="rId183" Type="http://schemas.openxmlformats.org/officeDocument/2006/relationships/hyperlink" Target="https://github.com/expertiza/expertiza/pull/877" TargetMode="External"/><Relationship Id="rId32" Type="http://schemas.openxmlformats.org/officeDocument/2006/relationships/hyperlink" Target="https://github.com/expertiza/expertiza/pull/1024" TargetMode="External"/><Relationship Id="rId182" Type="http://schemas.openxmlformats.org/officeDocument/2006/relationships/hyperlink" Target="https://github.com/expertiza/expertiza/pull/881" TargetMode="External"/><Relationship Id="rId35" Type="http://schemas.openxmlformats.org/officeDocument/2006/relationships/hyperlink" Target="https://github.com/expertiza/expertiza/pull/1047" TargetMode="External"/><Relationship Id="rId181" Type="http://schemas.openxmlformats.org/officeDocument/2006/relationships/hyperlink" Target="https://github.com/expertiza/expertiza/pull/875" TargetMode="External"/><Relationship Id="rId34" Type="http://schemas.openxmlformats.org/officeDocument/2006/relationships/hyperlink" Target="https://github.com/expertiza/expertiza/pull/1046" TargetMode="External"/><Relationship Id="rId180" Type="http://schemas.openxmlformats.org/officeDocument/2006/relationships/hyperlink" Target="https://github.com/expertiza/expertiza/pull/893" TargetMode="External"/><Relationship Id="rId37" Type="http://schemas.openxmlformats.org/officeDocument/2006/relationships/hyperlink" Target="https://github.com/expertiza/expertiza/pull/1048" TargetMode="External"/><Relationship Id="rId176" Type="http://schemas.openxmlformats.org/officeDocument/2006/relationships/hyperlink" Target="https://github.com/expertiza/expertiza/pull/891" TargetMode="External"/><Relationship Id="rId297" Type="http://schemas.openxmlformats.org/officeDocument/2006/relationships/hyperlink" Target="https://github.com/expertiza/expertiza/pull/363" TargetMode="External"/><Relationship Id="rId36" Type="http://schemas.openxmlformats.org/officeDocument/2006/relationships/hyperlink" Target="https://github.com/expertiza/expertiza/pull/1032" TargetMode="External"/><Relationship Id="rId175" Type="http://schemas.openxmlformats.org/officeDocument/2006/relationships/hyperlink" Target="https://github.com/expertiza/expertiza/pull/890" TargetMode="External"/><Relationship Id="rId296" Type="http://schemas.openxmlformats.org/officeDocument/2006/relationships/hyperlink" Target="https://github.com/expertiza/expertiza/pull/350" TargetMode="External"/><Relationship Id="rId39" Type="http://schemas.openxmlformats.org/officeDocument/2006/relationships/hyperlink" Target="https://github.com/expertiza/expertiza/pull/1021" TargetMode="External"/><Relationship Id="rId174" Type="http://schemas.openxmlformats.org/officeDocument/2006/relationships/hyperlink" Target="https://github.com/expertiza/expertiza/pull/866" TargetMode="External"/><Relationship Id="rId295" Type="http://schemas.openxmlformats.org/officeDocument/2006/relationships/hyperlink" Target="https://github.com/expertiza/expertiza/pull/369" TargetMode="External"/><Relationship Id="rId38" Type="http://schemas.openxmlformats.org/officeDocument/2006/relationships/hyperlink" Target="https://github.com/expertiza/expertiza/pull/1051" TargetMode="External"/><Relationship Id="rId173" Type="http://schemas.openxmlformats.org/officeDocument/2006/relationships/hyperlink" Target="https://github.com/expertiza/expertiza/pull/873" TargetMode="External"/><Relationship Id="rId294" Type="http://schemas.openxmlformats.org/officeDocument/2006/relationships/hyperlink" Target="https://github.com/expertiza/expertiza/pull/357" TargetMode="External"/><Relationship Id="rId179" Type="http://schemas.openxmlformats.org/officeDocument/2006/relationships/hyperlink" Target="https://github.com/expertiza/expertiza/pull/857" TargetMode="External"/><Relationship Id="rId178" Type="http://schemas.openxmlformats.org/officeDocument/2006/relationships/hyperlink" Target="https://github.com/expertiza/expertiza/pull/868" TargetMode="External"/><Relationship Id="rId299" Type="http://schemas.openxmlformats.org/officeDocument/2006/relationships/hyperlink" Target="https://github.com/expertiza/expertiza/pull/356" TargetMode="External"/><Relationship Id="rId177" Type="http://schemas.openxmlformats.org/officeDocument/2006/relationships/hyperlink" Target="https://github.com/expertiza/expertiza/pull/864" TargetMode="External"/><Relationship Id="rId298" Type="http://schemas.openxmlformats.org/officeDocument/2006/relationships/hyperlink" Target="https://github.com/expertiza/expertiza/pull/376" TargetMode="External"/><Relationship Id="rId20" Type="http://schemas.openxmlformats.org/officeDocument/2006/relationships/hyperlink" Target="https://github.com/expertiza/expertiza/pull/1183" TargetMode="External"/><Relationship Id="rId22" Type="http://schemas.openxmlformats.org/officeDocument/2006/relationships/hyperlink" Target="https://github.com/expertiza/expertiza/pull/1177" TargetMode="External"/><Relationship Id="rId21" Type="http://schemas.openxmlformats.org/officeDocument/2006/relationships/hyperlink" Target="https://github.com/expertiza/expertiza/pull/1175" TargetMode="External"/><Relationship Id="rId24" Type="http://schemas.openxmlformats.org/officeDocument/2006/relationships/hyperlink" Target="https://github.com/expertiza/expertiza/pull/1172" TargetMode="External"/><Relationship Id="rId23" Type="http://schemas.openxmlformats.org/officeDocument/2006/relationships/hyperlink" Target="https://github.com/expertiza/expertiza/pull/1176" TargetMode="External"/><Relationship Id="rId26" Type="http://schemas.openxmlformats.org/officeDocument/2006/relationships/hyperlink" Target="https://github.com/expertiza/expertiza/pull/1025" TargetMode="External"/><Relationship Id="rId25" Type="http://schemas.openxmlformats.org/officeDocument/2006/relationships/hyperlink" Target="https://github.com/expertiza/expertiza/pull/1182" TargetMode="External"/><Relationship Id="rId28" Type="http://schemas.openxmlformats.org/officeDocument/2006/relationships/hyperlink" Target="https://github.com/expertiza/expertiza/pull/1075" TargetMode="External"/><Relationship Id="rId27" Type="http://schemas.openxmlformats.org/officeDocument/2006/relationships/hyperlink" Target="https://github.com/expertiza/expertiza/pull/1071" TargetMode="External"/><Relationship Id="rId29" Type="http://schemas.openxmlformats.org/officeDocument/2006/relationships/hyperlink" Target="https://github.com/expertiza/expertiza/pull/1056" TargetMode="External"/><Relationship Id="rId11" Type="http://schemas.openxmlformats.org/officeDocument/2006/relationships/hyperlink" Target="https://github.com/expertiza/expertiza/pull/1152" TargetMode="External"/><Relationship Id="rId10" Type="http://schemas.openxmlformats.org/officeDocument/2006/relationships/hyperlink" Target="https://github.com/expertiza/expertiza/pull/1168" TargetMode="External"/><Relationship Id="rId13" Type="http://schemas.openxmlformats.org/officeDocument/2006/relationships/hyperlink" Target="https://github.com/expertiza/expertiza/pull/1154" TargetMode="External"/><Relationship Id="rId12" Type="http://schemas.openxmlformats.org/officeDocument/2006/relationships/hyperlink" Target="https://github.com/expertiza/expertiza/pull/1161" TargetMode="External"/><Relationship Id="rId15" Type="http://schemas.openxmlformats.org/officeDocument/2006/relationships/hyperlink" Target="https://github.com/expertiza/expertiza/pull/1179" TargetMode="External"/><Relationship Id="rId198" Type="http://schemas.openxmlformats.org/officeDocument/2006/relationships/hyperlink" Target="https://github.com/expertiza/expertiza/pull/671" TargetMode="External"/><Relationship Id="rId14" Type="http://schemas.openxmlformats.org/officeDocument/2006/relationships/hyperlink" Target="https://github.com/expertiza/expertiza/pull/1155" TargetMode="External"/><Relationship Id="rId197" Type="http://schemas.openxmlformats.org/officeDocument/2006/relationships/hyperlink" Target="https://github.com/expertiza/expertiza/pull/679" TargetMode="External"/><Relationship Id="rId17" Type="http://schemas.openxmlformats.org/officeDocument/2006/relationships/hyperlink" Target="https://github.com/expertiza/expertiza/pull/1167" TargetMode="External"/><Relationship Id="rId196" Type="http://schemas.openxmlformats.org/officeDocument/2006/relationships/hyperlink" Target="https://github.com/expertiza/expertiza/pull/659" TargetMode="External"/><Relationship Id="rId16" Type="http://schemas.openxmlformats.org/officeDocument/2006/relationships/hyperlink" Target="https://github.com/expertiza/expertiza/pull/1180" TargetMode="External"/><Relationship Id="rId195" Type="http://schemas.openxmlformats.org/officeDocument/2006/relationships/hyperlink" Target="https://github.com/expertiza/expertiza/pull/657" TargetMode="External"/><Relationship Id="rId19" Type="http://schemas.openxmlformats.org/officeDocument/2006/relationships/hyperlink" Target="https://github.com/expertiza/expertiza/pull/1181" TargetMode="External"/><Relationship Id="rId18" Type="http://schemas.openxmlformats.org/officeDocument/2006/relationships/hyperlink" Target="https://github.com/expertiza/expertiza/pull/1178" TargetMode="External"/><Relationship Id="rId199" Type="http://schemas.openxmlformats.org/officeDocument/2006/relationships/hyperlink" Target="https://github.com/expertiza/expertiza/pull/690" TargetMode="External"/><Relationship Id="rId84" Type="http://schemas.openxmlformats.org/officeDocument/2006/relationships/hyperlink" Target="https://github.com/expertiza/expertiza/pull/1108" TargetMode="External"/><Relationship Id="rId83" Type="http://schemas.openxmlformats.org/officeDocument/2006/relationships/hyperlink" Target="https://github.com/expertiza/expertiza/pull/1112" TargetMode="External"/><Relationship Id="rId86" Type="http://schemas.openxmlformats.org/officeDocument/2006/relationships/hyperlink" Target="https://github.com/expertiza/expertiza/pull/1132" TargetMode="External"/><Relationship Id="rId85" Type="http://schemas.openxmlformats.org/officeDocument/2006/relationships/hyperlink" Target="https://github.com/expertiza/expertiza/pull/1104" TargetMode="External"/><Relationship Id="rId88" Type="http://schemas.openxmlformats.org/officeDocument/2006/relationships/hyperlink" Target="https://github.com/expertiza/expertiza/pull/1117" TargetMode="External"/><Relationship Id="rId150" Type="http://schemas.openxmlformats.org/officeDocument/2006/relationships/hyperlink" Target="https://github.com/expertiza/expertiza/pull/765" TargetMode="External"/><Relationship Id="rId271" Type="http://schemas.openxmlformats.org/officeDocument/2006/relationships/hyperlink" Target="https://github.com/expertiza/expertiza/pull/448" TargetMode="External"/><Relationship Id="rId87" Type="http://schemas.openxmlformats.org/officeDocument/2006/relationships/hyperlink" Target="https://github.com/expertiza/expertiza/pull/1122" TargetMode="External"/><Relationship Id="rId270" Type="http://schemas.openxmlformats.org/officeDocument/2006/relationships/hyperlink" Target="https://github.com/expertiza/expertiza/pull/431" TargetMode="External"/><Relationship Id="rId89" Type="http://schemas.openxmlformats.org/officeDocument/2006/relationships/hyperlink" Target="https://github.com/expertiza/expertiza/pull/1128" TargetMode="External"/><Relationship Id="rId80" Type="http://schemas.openxmlformats.org/officeDocument/2006/relationships/hyperlink" Target="https://github.com/expertiza/expertiza/pull/1109" TargetMode="External"/><Relationship Id="rId82" Type="http://schemas.openxmlformats.org/officeDocument/2006/relationships/hyperlink" Target="https://github.com/expertiza/expertiza/pull/1127" TargetMode="External"/><Relationship Id="rId81" Type="http://schemas.openxmlformats.org/officeDocument/2006/relationships/hyperlink" Target="https://github.com/expertiza/expertiza/pull/1127" TargetMode="External"/><Relationship Id="rId1" Type="http://schemas.openxmlformats.org/officeDocument/2006/relationships/hyperlink" Target="https://github.com/expertiza/expertiza/pull/1159" TargetMode="External"/><Relationship Id="rId2" Type="http://schemas.openxmlformats.org/officeDocument/2006/relationships/hyperlink" Target="https://github.com/expertiza/expertiza/pull/1160" TargetMode="External"/><Relationship Id="rId3" Type="http://schemas.openxmlformats.org/officeDocument/2006/relationships/hyperlink" Target="https://github.com/expertiza/expertiza/pull/1144" TargetMode="External"/><Relationship Id="rId149" Type="http://schemas.openxmlformats.org/officeDocument/2006/relationships/hyperlink" Target="https://github.com/expertiza/expertiza/pull/812" TargetMode="External"/><Relationship Id="rId4" Type="http://schemas.openxmlformats.org/officeDocument/2006/relationships/hyperlink" Target="https://github.com/expertiza/expertiza/pull/1165" TargetMode="External"/><Relationship Id="rId148" Type="http://schemas.openxmlformats.org/officeDocument/2006/relationships/hyperlink" Target="https://github.com/expertiza/expertiza/pull/813" TargetMode="External"/><Relationship Id="rId269" Type="http://schemas.openxmlformats.org/officeDocument/2006/relationships/hyperlink" Target="https://github.com/expertiza/expertiza/pull/447" TargetMode="External"/><Relationship Id="rId9" Type="http://schemas.openxmlformats.org/officeDocument/2006/relationships/hyperlink" Target="https://github.com/expertiza/expertiza/pull/1156" TargetMode="External"/><Relationship Id="rId143" Type="http://schemas.openxmlformats.org/officeDocument/2006/relationships/hyperlink" Target="https://github.com/expertiza/expertiza/pull/835" TargetMode="External"/><Relationship Id="rId264" Type="http://schemas.openxmlformats.org/officeDocument/2006/relationships/hyperlink" Target="https://github.com/expertiza/expertiza/pull/439" TargetMode="External"/><Relationship Id="rId142" Type="http://schemas.openxmlformats.org/officeDocument/2006/relationships/hyperlink" Target="https://github.com/expertiza/expertiza/pull/787" TargetMode="External"/><Relationship Id="rId263" Type="http://schemas.openxmlformats.org/officeDocument/2006/relationships/hyperlink" Target="https://github.com/expertiza/expertiza/pull/433" TargetMode="External"/><Relationship Id="rId141" Type="http://schemas.openxmlformats.org/officeDocument/2006/relationships/hyperlink" Target="https://github.com/expertiza/expertiza/pull/825" TargetMode="External"/><Relationship Id="rId262" Type="http://schemas.openxmlformats.org/officeDocument/2006/relationships/hyperlink" Target="https://github.com/expertiza/expertiza/pull/443" TargetMode="External"/><Relationship Id="rId140" Type="http://schemas.openxmlformats.org/officeDocument/2006/relationships/hyperlink" Target="https://github.com/expertiza/expertiza/pull/844" TargetMode="External"/><Relationship Id="rId261" Type="http://schemas.openxmlformats.org/officeDocument/2006/relationships/hyperlink" Target="https://github.com/expertiza/expertiza/pull/451" TargetMode="External"/><Relationship Id="rId5" Type="http://schemas.openxmlformats.org/officeDocument/2006/relationships/hyperlink" Target="https://github.com/expertiza/expertiza/pull/1158" TargetMode="External"/><Relationship Id="rId147" Type="http://schemas.openxmlformats.org/officeDocument/2006/relationships/hyperlink" Target="https://github.com/expertiza/expertiza/pull/772" TargetMode="External"/><Relationship Id="rId268" Type="http://schemas.openxmlformats.org/officeDocument/2006/relationships/hyperlink" Target="https://github.com/expertiza/expertiza/pull/442" TargetMode="External"/><Relationship Id="rId6" Type="http://schemas.openxmlformats.org/officeDocument/2006/relationships/hyperlink" Target="https://github.com/expertiza/expertiza/pull/1153" TargetMode="External"/><Relationship Id="rId146" Type="http://schemas.openxmlformats.org/officeDocument/2006/relationships/hyperlink" Target="https://github.com/expertiza/expertiza/pull/811" TargetMode="External"/><Relationship Id="rId267" Type="http://schemas.openxmlformats.org/officeDocument/2006/relationships/hyperlink" Target="https://github.com/expertiza/expertiza/pull/435" TargetMode="External"/><Relationship Id="rId7" Type="http://schemas.openxmlformats.org/officeDocument/2006/relationships/hyperlink" Target="https://github.com/expertiza/expertiza/pull/1146" TargetMode="External"/><Relationship Id="rId145" Type="http://schemas.openxmlformats.org/officeDocument/2006/relationships/hyperlink" Target="https://github.com/expertiza/expertiza/pull/811" TargetMode="External"/><Relationship Id="rId266" Type="http://schemas.openxmlformats.org/officeDocument/2006/relationships/hyperlink" Target="https://github.com/expertiza/expertiza/pull/446" TargetMode="External"/><Relationship Id="rId8" Type="http://schemas.openxmlformats.org/officeDocument/2006/relationships/hyperlink" Target="https://github.com/expertiza/expertiza/pull/1169" TargetMode="External"/><Relationship Id="rId144" Type="http://schemas.openxmlformats.org/officeDocument/2006/relationships/hyperlink" Target="https://github.com/expertiza/expertiza/pull/804" TargetMode="External"/><Relationship Id="rId265" Type="http://schemas.openxmlformats.org/officeDocument/2006/relationships/hyperlink" Target="https://github.com/expertiza/expertiza/pull/438" TargetMode="External"/><Relationship Id="rId73" Type="http://schemas.openxmlformats.org/officeDocument/2006/relationships/hyperlink" Target="https://github.com/expertiza/expertiza/pull/1106" TargetMode="External"/><Relationship Id="rId72" Type="http://schemas.openxmlformats.org/officeDocument/2006/relationships/hyperlink" Target="https://github.com/expertiza/expertiza/pull/1133" TargetMode="External"/><Relationship Id="rId75" Type="http://schemas.openxmlformats.org/officeDocument/2006/relationships/hyperlink" Target="https://github.com/expertiza/expertiza/pull/1118" TargetMode="External"/><Relationship Id="rId74" Type="http://schemas.openxmlformats.org/officeDocument/2006/relationships/hyperlink" Target="https://github.com/expertiza/expertiza/pull/1094" TargetMode="External"/><Relationship Id="rId77" Type="http://schemas.openxmlformats.org/officeDocument/2006/relationships/hyperlink" Target="https://github.com/expertiza/expertiza/pull/1105" TargetMode="External"/><Relationship Id="rId260" Type="http://schemas.openxmlformats.org/officeDocument/2006/relationships/hyperlink" Target="https://github.com/expertiza/expertiza/pull/459" TargetMode="External"/><Relationship Id="rId76" Type="http://schemas.openxmlformats.org/officeDocument/2006/relationships/hyperlink" Target="https://github.com/expertiza/expertiza/pull/1114" TargetMode="External"/><Relationship Id="rId79" Type="http://schemas.openxmlformats.org/officeDocument/2006/relationships/hyperlink" Target="https://github.com/expertiza/expertiza/pull/1095" TargetMode="External"/><Relationship Id="rId78" Type="http://schemas.openxmlformats.org/officeDocument/2006/relationships/hyperlink" Target="https://github.com/expertiza/expertiza/pull/1101" TargetMode="External"/><Relationship Id="rId71" Type="http://schemas.openxmlformats.org/officeDocument/2006/relationships/hyperlink" Target="https://github.com/expertiza/expertiza/pull/1110" TargetMode="External"/><Relationship Id="rId70" Type="http://schemas.openxmlformats.org/officeDocument/2006/relationships/hyperlink" Target="https://github.com/expertiza/expertiza/pull/1116" TargetMode="External"/><Relationship Id="rId139" Type="http://schemas.openxmlformats.org/officeDocument/2006/relationships/hyperlink" Target="https://github.com/expertiza/expertiza/pull/763" TargetMode="External"/><Relationship Id="rId138" Type="http://schemas.openxmlformats.org/officeDocument/2006/relationships/hyperlink" Target="https://github.com/expertiza/expertiza/pull/827" TargetMode="External"/><Relationship Id="rId259" Type="http://schemas.openxmlformats.org/officeDocument/2006/relationships/hyperlink" Target="https://github.com/expertiza/expertiza/pull/544" TargetMode="External"/><Relationship Id="rId137" Type="http://schemas.openxmlformats.org/officeDocument/2006/relationships/hyperlink" Target="https://github.com/expertiza/expertiza/pull/786" TargetMode="External"/><Relationship Id="rId258" Type="http://schemas.openxmlformats.org/officeDocument/2006/relationships/hyperlink" Target="https://github.com/expertiza/expertiza/pull/546" TargetMode="External"/><Relationship Id="rId132" Type="http://schemas.openxmlformats.org/officeDocument/2006/relationships/hyperlink" Target="https://github.com/expertiza/expertiza/pull/777" TargetMode="External"/><Relationship Id="rId253" Type="http://schemas.openxmlformats.org/officeDocument/2006/relationships/hyperlink" Target="https://github.com/expertiza/expertiza/pull/531" TargetMode="External"/><Relationship Id="rId131" Type="http://schemas.openxmlformats.org/officeDocument/2006/relationships/hyperlink" Target="https://github.com/expertiza/expertiza/pull/788" TargetMode="External"/><Relationship Id="rId252" Type="http://schemas.openxmlformats.org/officeDocument/2006/relationships/hyperlink" Target="https://github.com/expertiza/expertiza/pull/506" TargetMode="External"/><Relationship Id="rId130" Type="http://schemas.openxmlformats.org/officeDocument/2006/relationships/hyperlink" Target="https://github.com/expertiza/expertiza/pull/794" TargetMode="External"/><Relationship Id="rId251" Type="http://schemas.openxmlformats.org/officeDocument/2006/relationships/hyperlink" Target="https://github.com/expertiza/expertiza/pull/528" TargetMode="External"/><Relationship Id="rId250" Type="http://schemas.openxmlformats.org/officeDocument/2006/relationships/hyperlink" Target="https://github.com/expertiza/expertiza/pull/505" TargetMode="External"/><Relationship Id="rId136" Type="http://schemas.openxmlformats.org/officeDocument/2006/relationships/hyperlink" Target="https://github.com/expertiza/expertiza/pull/751" TargetMode="External"/><Relationship Id="rId257" Type="http://schemas.openxmlformats.org/officeDocument/2006/relationships/hyperlink" Target="https://github.com/expertiza/expertiza/pull/547" TargetMode="External"/><Relationship Id="rId135" Type="http://schemas.openxmlformats.org/officeDocument/2006/relationships/hyperlink" Target="https://github.com/expertiza/expertiza/pull/810" TargetMode="External"/><Relationship Id="rId256" Type="http://schemas.openxmlformats.org/officeDocument/2006/relationships/hyperlink" Target="https://github.com/expertiza/expertiza/pull/541" TargetMode="External"/><Relationship Id="rId134" Type="http://schemas.openxmlformats.org/officeDocument/2006/relationships/hyperlink" Target="https://github.com/expertiza/expertiza/pull/799" TargetMode="External"/><Relationship Id="rId255" Type="http://schemas.openxmlformats.org/officeDocument/2006/relationships/hyperlink" Target="https://github.com/expertiza/expertiza/pull/548" TargetMode="External"/><Relationship Id="rId133" Type="http://schemas.openxmlformats.org/officeDocument/2006/relationships/hyperlink" Target="https://github.com/expertiza/expertiza/pull/781" TargetMode="External"/><Relationship Id="rId254" Type="http://schemas.openxmlformats.org/officeDocument/2006/relationships/hyperlink" Target="https://github.com/expertiza/expertiza/pull/533" TargetMode="External"/><Relationship Id="rId62" Type="http://schemas.openxmlformats.org/officeDocument/2006/relationships/hyperlink" Target="https://github.com/expertiza/expertiza/pull/1039" TargetMode="External"/><Relationship Id="rId61" Type="http://schemas.openxmlformats.org/officeDocument/2006/relationships/hyperlink" Target="https://github.com/expertiza/expertiza/pull/1078" TargetMode="External"/><Relationship Id="rId64" Type="http://schemas.openxmlformats.org/officeDocument/2006/relationships/hyperlink" Target="https://github.com/expertiza/expertiza/pull/1135" TargetMode="External"/><Relationship Id="rId63" Type="http://schemas.openxmlformats.org/officeDocument/2006/relationships/hyperlink" Target="https://github.com/expertiza/expertiza/pull/1058" TargetMode="External"/><Relationship Id="rId66" Type="http://schemas.openxmlformats.org/officeDocument/2006/relationships/hyperlink" Target="https://github.com/expertiza/expertiza/pull/1124" TargetMode="External"/><Relationship Id="rId172" Type="http://schemas.openxmlformats.org/officeDocument/2006/relationships/hyperlink" Target="https://github.com/expertiza/expertiza/pull/855" TargetMode="External"/><Relationship Id="rId293" Type="http://schemas.openxmlformats.org/officeDocument/2006/relationships/hyperlink" Target="https://github.com/expertiza/expertiza/pull/411" TargetMode="External"/><Relationship Id="rId65" Type="http://schemas.openxmlformats.org/officeDocument/2006/relationships/hyperlink" Target="https://github.com/expertiza/expertiza/pull/1130" TargetMode="External"/><Relationship Id="rId171" Type="http://schemas.openxmlformats.org/officeDocument/2006/relationships/hyperlink" Target="https://github.com/expertiza/expertiza/pull/854" TargetMode="External"/><Relationship Id="rId292" Type="http://schemas.openxmlformats.org/officeDocument/2006/relationships/hyperlink" Target="https://github.com/expertiza/expertiza/pull/410" TargetMode="External"/><Relationship Id="rId68" Type="http://schemas.openxmlformats.org/officeDocument/2006/relationships/hyperlink" Target="https://github.com/expertiza/expertiza/pull/1129" TargetMode="External"/><Relationship Id="rId170" Type="http://schemas.openxmlformats.org/officeDocument/2006/relationships/hyperlink" Target="https://github.com/expertiza/expertiza/pull/880" TargetMode="External"/><Relationship Id="rId291" Type="http://schemas.openxmlformats.org/officeDocument/2006/relationships/hyperlink" Target="https://github.com/expertiza/expertiza/pull/416" TargetMode="External"/><Relationship Id="rId67" Type="http://schemas.openxmlformats.org/officeDocument/2006/relationships/hyperlink" Target="https://github.com/expertiza/expertiza/pull/1107" TargetMode="External"/><Relationship Id="rId290" Type="http://schemas.openxmlformats.org/officeDocument/2006/relationships/hyperlink" Target="https://github.com/expertiza/expertiza/pull/411" TargetMode="External"/><Relationship Id="rId60" Type="http://schemas.openxmlformats.org/officeDocument/2006/relationships/hyperlink" Target="https://github.com/expertiza/expertiza/pull/1018" TargetMode="External"/><Relationship Id="rId165" Type="http://schemas.openxmlformats.org/officeDocument/2006/relationships/hyperlink" Target="https://github.com/expertiza/expertiza/pull/859" TargetMode="External"/><Relationship Id="rId286" Type="http://schemas.openxmlformats.org/officeDocument/2006/relationships/hyperlink" Target="https://github.com/expertiza/expertiza/pull/457" TargetMode="External"/><Relationship Id="rId69" Type="http://schemas.openxmlformats.org/officeDocument/2006/relationships/hyperlink" Target="https://github.com/expertiza/expertiza/pull/1113" TargetMode="External"/><Relationship Id="rId164" Type="http://schemas.openxmlformats.org/officeDocument/2006/relationships/hyperlink" Target="https://github.com/expertiza/expertiza/pull/894" TargetMode="External"/><Relationship Id="rId285" Type="http://schemas.openxmlformats.org/officeDocument/2006/relationships/hyperlink" Target="https://github.com/expertiza/expertiza/pull/468" TargetMode="External"/><Relationship Id="rId163" Type="http://schemas.openxmlformats.org/officeDocument/2006/relationships/hyperlink" Target="https://github.com/expertiza/expertiza/pull/886" TargetMode="External"/><Relationship Id="rId284" Type="http://schemas.openxmlformats.org/officeDocument/2006/relationships/hyperlink" Target="https://github.com/expertiza/expertiza/pull/462" TargetMode="External"/><Relationship Id="rId162" Type="http://schemas.openxmlformats.org/officeDocument/2006/relationships/hyperlink" Target="https://github.com/expertiza/expertiza/pull/888" TargetMode="External"/><Relationship Id="rId283" Type="http://schemas.openxmlformats.org/officeDocument/2006/relationships/hyperlink" Target="https://github.com/expertiza/expertiza/pull/464" TargetMode="External"/><Relationship Id="rId169" Type="http://schemas.openxmlformats.org/officeDocument/2006/relationships/hyperlink" Target="https://github.com/expertiza/expertiza/pull/882" TargetMode="External"/><Relationship Id="rId168" Type="http://schemas.openxmlformats.org/officeDocument/2006/relationships/hyperlink" Target="https://github.com/expertiza/expertiza/pull/867" TargetMode="External"/><Relationship Id="rId289" Type="http://schemas.openxmlformats.org/officeDocument/2006/relationships/hyperlink" Target="https://github.com/expertiza/expertiza/pull/414" TargetMode="External"/><Relationship Id="rId167" Type="http://schemas.openxmlformats.org/officeDocument/2006/relationships/hyperlink" Target="https://github.com/expertiza/expertiza/pull/869" TargetMode="External"/><Relationship Id="rId288" Type="http://schemas.openxmlformats.org/officeDocument/2006/relationships/hyperlink" Target="https://github.com/expertiza/expertiza/pull/412" TargetMode="External"/><Relationship Id="rId166" Type="http://schemas.openxmlformats.org/officeDocument/2006/relationships/hyperlink" Target="https://github.com/expertiza/expertiza/pull/874" TargetMode="External"/><Relationship Id="rId287" Type="http://schemas.openxmlformats.org/officeDocument/2006/relationships/hyperlink" Target="https://github.com/expertiza/expertiza/pull/465" TargetMode="External"/><Relationship Id="rId51" Type="http://schemas.openxmlformats.org/officeDocument/2006/relationships/hyperlink" Target="https://github.com/expertiza/expertiza/pull/1031" TargetMode="External"/><Relationship Id="rId50" Type="http://schemas.openxmlformats.org/officeDocument/2006/relationships/hyperlink" Target="https://github.com/expertiza/expertiza/pull/1031" TargetMode="External"/><Relationship Id="rId53" Type="http://schemas.openxmlformats.org/officeDocument/2006/relationships/hyperlink" Target="https://github.com/expertiza/expertiza/pull/1059" TargetMode="External"/><Relationship Id="rId52" Type="http://schemas.openxmlformats.org/officeDocument/2006/relationships/hyperlink" Target="https://github.com/expertiza/expertiza/pull/1044" TargetMode="External"/><Relationship Id="rId55" Type="http://schemas.openxmlformats.org/officeDocument/2006/relationships/hyperlink" Target="https://github.com/expertiza/expertiza/pull/1028" TargetMode="External"/><Relationship Id="rId161" Type="http://schemas.openxmlformats.org/officeDocument/2006/relationships/hyperlink" Target="https://github.com/expertiza/expertiza/pull/878" TargetMode="External"/><Relationship Id="rId282" Type="http://schemas.openxmlformats.org/officeDocument/2006/relationships/hyperlink" Target="https://github.com/expertiza/expertiza/pull/471" TargetMode="External"/><Relationship Id="rId54" Type="http://schemas.openxmlformats.org/officeDocument/2006/relationships/hyperlink" Target="https://github.com/expertiza/expertiza/pull/1136" TargetMode="External"/><Relationship Id="rId160" Type="http://schemas.openxmlformats.org/officeDocument/2006/relationships/hyperlink" Target="https://github.com/expertiza/expertiza/pull/858" TargetMode="External"/><Relationship Id="rId281" Type="http://schemas.openxmlformats.org/officeDocument/2006/relationships/hyperlink" Target="https://github.com/expertiza/expertiza/pull/460" TargetMode="External"/><Relationship Id="rId57" Type="http://schemas.openxmlformats.org/officeDocument/2006/relationships/hyperlink" Target="https://github.com/expertiza/expertiza/pull/1040" TargetMode="External"/><Relationship Id="rId280" Type="http://schemas.openxmlformats.org/officeDocument/2006/relationships/hyperlink" Target="https://github.com/expertiza/expertiza/pull/461" TargetMode="External"/><Relationship Id="rId56" Type="http://schemas.openxmlformats.org/officeDocument/2006/relationships/hyperlink" Target="https://github.com/expertiza/expertiza/pull/1042" TargetMode="External"/><Relationship Id="rId159" Type="http://schemas.openxmlformats.org/officeDocument/2006/relationships/hyperlink" Target="https://github.com/expertiza/expertiza/pull/851" TargetMode="External"/><Relationship Id="rId59" Type="http://schemas.openxmlformats.org/officeDocument/2006/relationships/hyperlink" Target="https://github.com/expertiza/expertiza/pull/1053" TargetMode="External"/><Relationship Id="rId154" Type="http://schemas.openxmlformats.org/officeDocument/2006/relationships/hyperlink" Target="https://github.com/expertiza/expertiza/pull/832" TargetMode="External"/><Relationship Id="rId275" Type="http://schemas.openxmlformats.org/officeDocument/2006/relationships/hyperlink" Target="https://github.com/expertiza/expertiza/pull/436" TargetMode="External"/><Relationship Id="rId58" Type="http://schemas.openxmlformats.org/officeDocument/2006/relationships/hyperlink" Target="https://github.com/expertiza/expertiza/pull/1070" TargetMode="External"/><Relationship Id="rId153" Type="http://schemas.openxmlformats.org/officeDocument/2006/relationships/hyperlink" Target="https://github.com/expertiza/expertiza/pull/800" TargetMode="External"/><Relationship Id="rId274" Type="http://schemas.openxmlformats.org/officeDocument/2006/relationships/hyperlink" Target="https://github.com/expertiza/expertiza/pull/434" TargetMode="External"/><Relationship Id="rId152" Type="http://schemas.openxmlformats.org/officeDocument/2006/relationships/hyperlink" Target="https://github.com/expertiza/expertiza/pull/819" TargetMode="External"/><Relationship Id="rId273" Type="http://schemas.openxmlformats.org/officeDocument/2006/relationships/hyperlink" Target="https://github.com/expertiza/expertiza/pull/441" TargetMode="External"/><Relationship Id="rId151" Type="http://schemas.openxmlformats.org/officeDocument/2006/relationships/hyperlink" Target="https://github.com/expertiza/expertiza/pull/792" TargetMode="External"/><Relationship Id="rId272" Type="http://schemas.openxmlformats.org/officeDocument/2006/relationships/hyperlink" Target="https://github.com/expertiza/expertiza/pull/449" TargetMode="External"/><Relationship Id="rId158" Type="http://schemas.openxmlformats.org/officeDocument/2006/relationships/hyperlink" Target="https://github.com/expertiza/expertiza/pull/892" TargetMode="External"/><Relationship Id="rId279" Type="http://schemas.openxmlformats.org/officeDocument/2006/relationships/hyperlink" Target="https://github.com/expertiza/expertiza/pull/469" TargetMode="External"/><Relationship Id="rId157" Type="http://schemas.openxmlformats.org/officeDocument/2006/relationships/hyperlink" Target="https://github.com/expertiza/expertiza/pull/860" TargetMode="External"/><Relationship Id="rId278" Type="http://schemas.openxmlformats.org/officeDocument/2006/relationships/hyperlink" Target="https://github.com/expertiza/expertiza/pull/466" TargetMode="External"/><Relationship Id="rId156" Type="http://schemas.openxmlformats.org/officeDocument/2006/relationships/hyperlink" Target="https://github.com/expertiza/expertiza/pull/782" TargetMode="External"/><Relationship Id="rId277" Type="http://schemas.openxmlformats.org/officeDocument/2006/relationships/hyperlink" Target="https://github.com/expertiza/expertiza/pull/458" TargetMode="External"/><Relationship Id="rId155" Type="http://schemas.openxmlformats.org/officeDocument/2006/relationships/hyperlink" Target="https://github.com/expertiza/expertiza/pull/791" TargetMode="External"/><Relationship Id="rId276" Type="http://schemas.openxmlformats.org/officeDocument/2006/relationships/hyperlink" Target="https://github.com/expertiza/expertiza/pull/444" TargetMode="External"/><Relationship Id="rId107" Type="http://schemas.openxmlformats.org/officeDocument/2006/relationships/hyperlink" Target="https://github.com/expertiza/expertiza/pull/937" TargetMode="External"/><Relationship Id="rId228" Type="http://schemas.openxmlformats.org/officeDocument/2006/relationships/hyperlink" Target="https://github.com/expertiza/expertiza/pull/616" TargetMode="External"/><Relationship Id="rId106" Type="http://schemas.openxmlformats.org/officeDocument/2006/relationships/hyperlink" Target="https://github.com/expertiza/expertiza/pull/954" TargetMode="External"/><Relationship Id="rId227" Type="http://schemas.openxmlformats.org/officeDocument/2006/relationships/hyperlink" Target="https://github.com/expertiza/expertiza/pull/608" TargetMode="External"/><Relationship Id="rId105" Type="http://schemas.openxmlformats.org/officeDocument/2006/relationships/hyperlink" Target="https://github.com/expertiza/expertiza/pull/944" TargetMode="External"/><Relationship Id="rId226" Type="http://schemas.openxmlformats.org/officeDocument/2006/relationships/hyperlink" Target="https://github.com/expertiza/expertiza/pull/587" TargetMode="External"/><Relationship Id="rId104" Type="http://schemas.openxmlformats.org/officeDocument/2006/relationships/hyperlink" Target="https://github.com/expertiza/expertiza/pull/920" TargetMode="External"/><Relationship Id="rId225" Type="http://schemas.openxmlformats.org/officeDocument/2006/relationships/hyperlink" Target="https://github.com/expertiza/expertiza/pull/592" TargetMode="External"/><Relationship Id="rId109" Type="http://schemas.openxmlformats.org/officeDocument/2006/relationships/hyperlink" Target="https://github.com/expertiza/expertiza/pull/947" TargetMode="External"/><Relationship Id="rId108" Type="http://schemas.openxmlformats.org/officeDocument/2006/relationships/hyperlink" Target="https://github.com/expertiza/expertiza/pull/948" TargetMode="External"/><Relationship Id="rId229" Type="http://schemas.openxmlformats.org/officeDocument/2006/relationships/hyperlink" Target="https://github.com/expertiza/expertiza/pull/615" TargetMode="External"/><Relationship Id="rId220" Type="http://schemas.openxmlformats.org/officeDocument/2006/relationships/hyperlink" Target="https://github.com/expertiza/expertiza/pull/596" TargetMode="External"/><Relationship Id="rId341" Type="http://schemas.openxmlformats.org/officeDocument/2006/relationships/drawing" Target="../drawings/drawing5.xml"/><Relationship Id="rId340" Type="http://schemas.openxmlformats.org/officeDocument/2006/relationships/hyperlink" Target="https://github.com/expertiza/expertiza/pull/229" TargetMode="External"/><Relationship Id="rId103" Type="http://schemas.openxmlformats.org/officeDocument/2006/relationships/hyperlink" Target="https://github.com/expertiza/expertiza/pull/915" TargetMode="External"/><Relationship Id="rId224" Type="http://schemas.openxmlformats.org/officeDocument/2006/relationships/hyperlink" Target="https://github.com/expertiza/expertiza/pull/591" TargetMode="External"/><Relationship Id="rId102" Type="http://schemas.openxmlformats.org/officeDocument/2006/relationships/hyperlink" Target="https://github.com/expertiza/expertiza/pull/911" TargetMode="External"/><Relationship Id="rId223" Type="http://schemas.openxmlformats.org/officeDocument/2006/relationships/hyperlink" Target="https://github.com/expertiza/expertiza/pull/584" TargetMode="External"/><Relationship Id="rId101" Type="http://schemas.openxmlformats.org/officeDocument/2006/relationships/hyperlink" Target="https://github.com/expertiza/expertiza/pull/913" TargetMode="External"/><Relationship Id="rId222" Type="http://schemas.openxmlformats.org/officeDocument/2006/relationships/hyperlink" Target="https://github.com/expertiza/expertiza/pull/609" TargetMode="External"/><Relationship Id="rId100" Type="http://schemas.openxmlformats.org/officeDocument/2006/relationships/hyperlink" Target="https://github.com/expertiza/expertiza/pull/912" TargetMode="External"/><Relationship Id="rId221" Type="http://schemas.openxmlformats.org/officeDocument/2006/relationships/hyperlink" Target="https://github.com/expertiza/expertiza/pull/599" TargetMode="External"/><Relationship Id="rId217" Type="http://schemas.openxmlformats.org/officeDocument/2006/relationships/hyperlink" Target="https://github.com/expertiza/expertiza/pull/612" TargetMode="External"/><Relationship Id="rId338" Type="http://schemas.openxmlformats.org/officeDocument/2006/relationships/hyperlink" Target="https://github.com/expertiza/expertiza/pull/233" TargetMode="External"/><Relationship Id="rId216" Type="http://schemas.openxmlformats.org/officeDocument/2006/relationships/hyperlink" Target="https://github.com/expertiza/expertiza/pull/607" TargetMode="External"/><Relationship Id="rId337" Type="http://schemas.openxmlformats.org/officeDocument/2006/relationships/hyperlink" Target="https://github.com/expertiza/expertiza/pull/235" TargetMode="External"/><Relationship Id="rId215" Type="http://schemas.openxmlformats.org/officeDocument/2006/relationships/hyperlink" Target="https://github.com/expertiza/expertiza/pull/589" TargetMode="External"/><Relationship Id="rId336" Type="http://schemas.openxmlformats.org/officeDocument/2006/relationships/hyperlink" Target="https://github.com/expertiza/expertiza/pull/232" TargetMode="External"/><Relationship Id="rId214" Type="http://schemas.openxmlformats.org/officeDocument/2006/relationships/hyperlink" Target="https://github.com/expertiza/expertiza/pull/619" TargetMode="External"/><Relationship Id="rId335" Type="http://schemas.openxmlformats.org/officeDocument/2006/relationships/hyperlink" Target="https://github.com/expertiza/expertiza/pull/236" TargetMode="External"/><Relationship Id="rId219" Type="http://schemas.openxmlformats.org/officeDocument/2006/relationships/hyperlink" Target="https://github.com/expertiza/expertiza/pull/610" TargetMode="External"/><Relationship Id="rId218" Type="http://schemas.openxmlformats.org/officeDocument/2006/relationships/hyperlink" Target="https://github.com/expertiza/expertiza/pull/603" TargetMode="External"/><Relationship Id="rId339" Type="http://schemas.openxmlformats.org/officeDocument/2006/relationships/hyperlink" Target="https://github.com/expertiza/expertiza/pull/239" TargetMode="External"/><Relationship Id="rId330" Type="http://schemas.openxmlformats.org/officeDocument/2006/relationships/hyperlink" Target="https://github.com/expertiza/expertiza/pull/269" TargetMode="External"/><Relationship Id="rId213" Type="http://schemas.openxmlformats.org/officeDocument/2006/relationships/hyperlink" Target="https://github.com/expertiza/expertiza/pull/605" TargetMode="External"/><Relationship Id="rId334" Type="http://schemas.openxmlformats.org/officeDocument/2006/relationships/hyperlink" Target="https://github.com/expertiza/expertiza/pull/265" TargetMode="External"/><Relationship Id="rId212" Type="http://schemas.openxmlformats.org/officeDocument/2006/relationships/hyperlink" Target="https://github.com/expertiza/expertiza/pull/595" TargetMode="External"/><Relationship Id="rId333" Type="http://schemas.openxmlformats.org/officeDocument/2006/relationships/hyperlink" Target="https://github.com/expertiza/expertiza/pull/238" TargetMode="External"/><Relationship Id="rId211" Type="http://schemas.openxmlformats.org/officeDocument/2006/relationships/hyperlink" Target="https://github.com/expertiza/expertiza/pull/585" TargetMode="External"/><Relationship Id="rId332" Type="http://schemas.openxmlformats.org/officeDocument/2006/relationships/hyperlink" Target="https://github.com/expertiza/expertiza/pull/237" TargetMode="External"/><Relationship Id="rId210" Type="http://schemas.openxmlformats.org/officeDocument/2006/relationships/hyperlink" Target="https://github.com/expertiza/expertiza/pull/614" TargetMode="External"/><Relationship Id="rId331" Type="http://schemas.openxmlformats.org/officeDocument/2006/relationships/hyperlink" Target="https://github.com/expertiza/expertiza/pull/231" TargetMode="External"/><Relationship Id="rId129" Type="http://schemas.openxmlformats.org/officeDocument/2006/relationships/hyperlink" Target="https://github.com/expertiza/expertiza/pull/816" TargetMode="External"/><Relationship Id="rId128" Type="http://schemas.openxmlformats.org/officeDocument/2006/relationships/hyperlink" Target="https://github.com/expertiza/expertiza/pull/744" TargetMode="External"/><Relationship Id="rId249" Type="http://schemas.openxmlformats.org/officeDocument/2006/relationships/hyperlink" Target="https://github.com/expertiza/expertiza/pull/509" TargetMode="External"/><Relationship Id="rId127" Type="http://schemas.openxmlformats.org/officeDocument/2006/relationships/hyperlink" Target="https://github.com/expertiza/expertiza/pull/803" TargetMode="External"/><Relationship Id="rId248" Type="http://schemas.openxmlformats.org/officeDocument/2006/relationships/hyperlink" Target="https://github.com/expertiza/expertiza/pull/508" TargetMode="External"/><Relationship Id="rId126" Type="http://schemas.openxmlformats.org/officeDocument/2006/relationships/hyperlink" Target="https://github.com/expertiza/expertiza/pull/826" TargetMode="External"/><Relationship Id="rId247" Type="http://schemas.openxmlformats.org/officeDocument/2006/relationships/hyperlink" Target="https://github.com/expertiza/expertiza/pull/507" TargetMode="External"/><Relationship Id="rId121" Type="http://schemas.openxmlformats.org/officeDocument/2006/relationships/hyperlink" Target="https://github.com/expertiza/expertiza/pull/822" TargetMode="External"/><Relationship Id="rId242" Type="http://schemas.openxmlformats.org/officeDocument/2006/relationships/hyperlink" Target="https://github.com/expertiza/expertiza/pull/639" TargetMode="External"/><Relationship Id="rId120" Type="http://schemas.openxmlformats.org/officeDocument/2006/relationships/hyperlink" Target="https://github.com/expertiza/expertiza/pull/824" TargetMode="External"/><Relationship Id="rId241" Type="http://schemas.openxmlformats.org/officeDocument/2006/relationships/hyperlink" Target="https://github.com/expertiza/expertiza/pull/624" TargetMode="External"/><Relationship Id="rId240" Type="http://schemas.openxmlformats.org/officeDocument/2006/relationships/hyperlink" Target="https://github.com/expertiza/expertiza/pull/628" TargetMode="External"/><Relationship Id="rId125" Type="http://schemas.openxmlformats.org/officeDocument/2006/relationships/hyperlink" Target="https://github.com/expertiza/expertiza/pull/797" TargetMode="External"/><Relationship Id="rId246" Type="http://schemas.openxmlformats.org/officeDocument/2006/relationships/hyperlink" Target="https://github.com/expertiza/expertiza/pull/530" TargetMode="External"/><Relationship Id="rId124" Type="http://schemas.openxmlformats.org/officeDocument/2006/relationships/hyperlink" Target="https://github.com/expertiza/expertiza/pull/836" TargetMode="External"/><Relationship Id="rId245" Type="http://schemas.openxmlformats.org/officeDocument/2006/relationships/hyperlink" Target="https://github.com/expertiza/expertiza/pull/510" TargetMode="External"/><Relationship Id="rId123" Type="http://schemas.openxmlformats.org/officeDocument/2006/relationships/hyperlink" Target="https://github.com/expertiza/expertiza/pull/795" TargetMode="External"/><Relationship Id="rId244" Type="http://schemas.openxmlformats.org/officeDocument/2006/relationships/hyperlink" Target="https://github.com/expertiza/expertiza/pull/626" TargetMode="External"/><Relationship Id="rId122" Type="http://schemas.openxmlformats.org/officeDocument/2006/relationships/hyperlink" Target="https://github.com/expertiza/expertiza/pull/779" TargetMode="External"/><Relationship Id="rId243" Type="http://schemas.openxmlformats.org/officeDocument/2006/relationships/hyperlink" Target="https://github.com/expertiza/expertiza/pull/625" TargetMode="External"/><Relationship Id="rId95" Type="http://schemas.openxmlformats.org/officeDocument/2006/relationships/hyperlink" Target="https://github.com/expertiza/expertiza/pull/924" TargetMode="External"/><Relationship Id="rId94" Type="http://schemas.openxmlformats.org/officeDocument/2006/relationships/hyperlink" Target="https://github.com/expertiza/expertiza/pull/923" TargetMode="External"/><Relationship Id="rId97" Type="http://schemas.openxmlformats.org/officeDocument/2006/relationships/hyperlink" Target="https://github.com/expertiza/expertiza/pull/921" TargetMode="External"/><Relationship Id="rId96" Type="http://schemas.openxmlformats.org/officeDocument/2006/relationships/hyperlink" Target="https://github.com/expertiza/expertiza/pull/931" TargetMode="External"/><Relationship Id="rId99" Type="http://schemas.openxmlformats.org/officeDocument/2006/relationships/hyperlink" Target="https://github.com/expertiza/expertiza/pull/910" TargetMode="External"/><Relationship Id="rId98" Type="http://schemas.openxmlformats.org/officeDocument/2006/relationships/hyperlink" Target="https://github.com/expertiza/expertiza/pull/917" TargetMode="External"/><Relationship Id="rId91" Type="http://schemas.openxmlformats.org/officeDocument/2006/relationships/hyperlink" Target="https://github.com/expertiza/expertiza/pull/922" TargetMode="External"/><Relationship Id="rId90" Type="http://schemas.openxmlformats.org/officeDocument/2006/relationships/hyperlink" Target="https://github.com/expertiza/expertiza/pull/925" TargetMode="External"/><Relationship Id="rId93" Type="http://schemas.openxmlformats.org/officeDocument/2006/relationships/hyperlink" Target="https://github.com/expertiza/expertiza/pull/916" TargetMode="External"/><Relationship Id="rId92" Type="http://schemas.openxmlformats.org/officeDocument/2006/relationships/hyperlink" Target="https://github.com/expertiza/expertiza/pull/930" TargetMode="External"/><Relationship Id="rId118" Type="http://schemas.openxmlformats.org/officeDocument/2006/relationships/hyperlink" Target="https://github.com/expertiza/expertiza/pull/837" TargetMode="External"/><Relationship Id="rId239" Type="http://schemas.openxmlformats.org/officeDocument/2006/relationships/hyperlink" Target="https://github.com/expertiza/expertiza/pull/635" TargetMode="External"/><Relationship Id="rId117" Type="http://schemas.openxmlformats.org/officeDocument/2006/relationships/hyperlink" Target="https://github.com/expertiza/expertiza/pull/828" TargetMode="External"/><Relationship Id="rId238" Type="http://schemas.openxmlformats.org/officeDocument/2006/relationships/hyperlink" Target="https://github.com/expertiza/expertiza/pull/643" TargetMode="External"/><Relationship Id="rId116" Type="http://schemas.openxmlformats.org/officeDocument/2006/relationships/hyperlink" Target="https://github.com/expertiza/expertiza/pull/778" TargetMode="External"/><Relationship Id="rId237" Type="http://schemas.openxmlformats.org/officeDocument/2006/relationships/hyperlink" Target="https://github.com/expertiza/expertiza/pull/638" TargetMode="External"/><Relationship Id="rId115" Type="http://schemas.openxmlformats.org/officeDocument/2006/relationships/hyperlink" Target="https://github.com/expertiza/expertiza/pull/943" TargetMode="External"/><Relationship Id="rId236" Type="http://schemas.openxmlformats.org/officeDocument/2006/relationships/hyperlink" Target="https://github.com/expertiza/expertiza/pull/642" TargetMode="External"/><Relationship Id="rId119" Type="http://schemas.openxmlformats.org/officeDocument/2006/relationships/hyperlink" Target="https://github.com/expertiza/expertiza/pull/755" TargetMode="External"/><Relationship Id="rId110" Type="http://schemas.openxmlformats.org/officeDocument/2006/relationships/hyperlink" Target="https://github.com/expertiza/expertiza/pull/951" TargetMode="External"/><Relationship Id="rId231" Type="http://schemas.openxmlformats.org/officeDocument/2006/relationships/hyperlink" Target="https://github.com/expertiza/expertiza/pull/636" TargetMode="External"/><Relationship Id="rId230" Type="http://schemas.openxmlformats.org/officeDocument/2006/relationships/hyperlink" Target="https://github.com/expertiza/expertiza/pull/629" TargetMode="External"/><Relationship Id="rId114" Type="http://schemas.openxmlformats.org/officeDocument/2006/relationships/hyperlink" Target="https://github.com/expertiza/expertiza/pull/952" TargetMode="External"/><Relationship Id="rId235" Type="http://schemas.openxmlformats.org/officeDocument/2006/relationships/hyperlink" Target="https://github.com/expertiza/expertiza/pull/640" TargetMode="External"/><Relationship Id="rId113" Type="http://schemas.openxmlformats.org/officeDocument/2006/relationships/hyperlink" Target="https://github.com/expertiza/expertiza/pull/946" TargetMode="External"/><Relationship Id="rId234" Type="http://schemas.openxmlformats.org/officeDocument/2006/relationships/hyperlink" Target="https://github.com/expertiza/expertiza/pull/641" TargetMode="External"/><Relationship Id="rId112" Type="http://schemas.openxmlformats.org/officeDocument/2006/relationships/hyperlink" Target="https://github.com/expertiza/expertiza/pull/945" TargetMode="External"/><Relationship Id="rId233" Type="http://schemas.openxmlformats.org/officeDocument/2006/relationships/hyperlink" Target="https://github.com/expertiza/expertiza/pull/632" TargetMode="External"/><Relationship Id="rId111" Type="http://schemas.openxmlformats.org/officeDocument/2006/relationships/hyperlink" Target="https://github.com/expertiza/expertiza/pull/949" TargetMode="External"/><Relationship Id="rId232" Type="http://schemas.openxmlformats.org/officeDocument/2006/relationships/hyperlink" Target="https://github.com/expertiza/expertiza/pull/637" TargetMode="External"/><Relationship Id="rId305" Type="http://schemas.openxmlformats.org/officeDocument/2006/relationships/hyperlink" Target="https://github.com/expertiza/expertiza/pull/380" TargetMode="External"/><Relationship Id="rId304" Type="http://schemas.openxmlformats.org/officeDocument/2006/relationships/hyperlink" Target="https://github.com/expertiza/expertiza/pull/379" TargetMode="External"/><Relationship Id="rId303" Type="http://schemas.openxmlformats.org/officeDocument/2006/relationships/hyperlink" Target="https://github.com/expertiza/expertiza/pull/361" TargetMode="External"/><Relationship Id="rId302" Type="http://schemas.openxmlformats.org/officeDocument/2006/relationships/hyperlink" Target="https://github.com/expertiza/expertiza/pull/362" TargetMode="External"/><Relationship Id="rId309" Type="http://schemas.openxmlformats.org/officeDocument/2006/relationships/hyperlink" Target="https://github.com/expertiza/expertiza/pull/393" TargetMode="External"/><Relationship Id="rId308" Type="http://schemas.openxmlformats.org/officeDocument/2006/relationships/hyperlink" Target="https://github.com/expertiza/expertiza/pull/394" TargetMode="External"/><Relationship Id="rId307" Type="http://schemas.openxmlformats.org/officeDocument/2006/relationships/hyperlink" Target="https://github.com/expertiza/expertiza/pull/378" TargetMode="External"/><Relationship Id="rId306" Type="http://schemas.openxmlformats.org/officeDocument/2006/relationships/hyperlink" Target="https://github.com/expertiza/expertiza/pull/382" TargetMode="External"/><Relationship Id="rId301" Type="http://schemas.openxmlformats.org/officeDocument/2006/relationships/hyperlink" Target="https://github.com/expertiza/expertiza/pull/353" TargetMode="External"/><Relationship Id="rId300" Type="http://schemas.openxmlformats.org/officeDocument/2006/relationships/hyperlink" Target="https://github.com/expertiza/expertiza/pull/359" TargetMode="External"/><Relationship Id="rId206" Type="http://schemas.openxmlformats.org/officeDocument/2006/relationships/hyperlink" Target="https://github.com/expertiza/expertiza/pull/601" TargetMode="External"/><Relationship Id="rId327" Type="http://schemas.openxmlformats.org/officeDocument/2006/relationships/hyperlink" Target="https://github.com/expertiza/expertiza/pull/287" TargetMode="External"/><Relationship Id="rId205" Type="http://schemas.openxmlformats.org/officeDocument/2006/relationships/hyperlink" Target="https://github.com/expertiza/expertiza/pull/680" TargetMode="External"/><Relationship Id="rId326" Type="http://schemas.openxmlformats.org/officeDocument/2006/relationships/hyperlink" Target="https://github.com/expertiza/expertiza/pull/224" TargetMode="External"/><Relationship Id="rId204" Type="http://schemas.openxmlformats.org/officeDocument/2006/relationships/hyperlink" Target="https://github.com/expertiza/expertiza/pull/681" TargetMode="External"/><Relationship Id="rId325" Type="http://schemas.openxmlformats.org/officeDocument/2006/relationships/hyperlink" Target="https://github.com/expertiza/expertiza/pull/277" TargetMode="External"/><Relationship Id="rId203" Type="http://schemas.openxmlformats.org/officeDocument/2006/relationships/hyperlink" Target="https://github.com/expertiza/expertiza/pull/676" TargetMode="External"/><Relationship Id="rId324" Type="http://schemas.openxmlformats.org/officeDocument/2006/relationships/hyperlink" Target="https://github.com/expertiza/expertiza/pull/274" TargetMode="External"/><Relationship Id="rId209" Type="http://schemas.openxmlformats.org/officeDocument/2006/relationships/hyperlink" Target="https://github.com/expertiza/expertiza/pull/590" TargetMode="External"/><Relationship Id="rId208" Type="http://schemas.openxmlformats.org/officeDocument/2006/relationships/hyperlink" Target="https://github.com/expertiza/expertiza/pull/602" TargetMode="External"/><Relationship Id="rId329" Type="http://schemas.openxmlformats.org/officeDocument/2006/relationships/hyperlink" Target="https://github.com/expertiza/expertiza/pull/234" TargetMode="External"/><Relationship Id="rId207" Type="http://schemas.openxmlformats.org/officeDocument/2006/relationships/hyperlink" Target="https://github.com/expertiza/expertiza/pull/600" TargetMode="External"/><Relationship Id="rId328" Type="http://schemas.openxmlformats.org/officeDocument/2006/relationships/hyperlink" Target="https://github.com/expertiza/expertiza/pull/244" TargetMode="External"/><Relationship Id="rId202" Type="http://schemas.openxmlformats.org/officeDocument/2006/relationships/hyperlink" Target="https://github.com/expertiza/expertiza/pull/678" TargetMode="External"/><Relationship Id="rId323" Type="http://schemas.openxmlformats.org/officeDocument/2006/relationships/hyperlink" Target="https://github.com/expertiza/expertiza/pull/276" TargetMode="External"/><Relationship Id="rId201" Type="http://schemas.openxmlformats.org/officeDocument/2006/relationships/hyperlink" Target="https://github.com/expertiza/expertiza/pull/673" TargetMode="External"/><Relationship Id="rId322" Type="http://schemas.openxmlformats.org/officeDocument/2006/relationships/hyperlink" Target="https://github.com/expertiza/expertiza/pull/300" TargetMode="External"/><Relationship Id="rId200" Type="http://schemas.openxmlformats.org/officeDocument/2006/relationships/hyperlink" Target="https://github.com/expertiza/expertiza/pull/677" TargetMode="External"/><Relationship Id="rId321" Type="http://schemas.openxmlformats.org/officeDocument/2006/relationships/hyperlink" Target="https://github.com/expertiza/expertiza/pull/263" TargetMode="External"/><Relationship Id="rId320" Type="http://schemas.openxmlformats.org/officeDocument/2006/relationships/hyperlink" Target="https://github.com/expertiza/expertiza/pull/261" TargetMode="External"/><Relationship Id="rId316" Type="http://schemas.openxmlformats.org/officeDocument/2006/relationships/hyperlink" Target="https://github.com/expertiza/expertiza/pull/388" TargetMode="External"/><Relationship Id="rId315" Type="http://schemas.openxmlformats.org/officeDocument/2006/relationships/hyperlink" Target="https://github.com/expertiza/expertiza/pull/383" TargetMode="External"/><Relationship Id="rId314" Type="http://schemas.openxmlformats.org/officeDocument/2006/relationships/hyperlink" Target="https://github.com/expertiza/expertiza/pull/389" TargetMode="External"/><Relationship Id="rId313" Type="http://schemas.openxmlformats.org/officeDocument/2006/relationships/hyperlink" Target="https://github.com/expertiza/expertiza/pull/390" TargetMode="External"/><Relationship Id="rId319" Type="http://schemas.openxmlformats.org/officeDocument/2006/relationships/hyperlink" Target="https://github.com/expertiza/expertiza/pull/260" TargetMode="External"/><Relationship Id="rId318" Type="http://schemas.openxmlformats.org/officeDocument/2006/relationships/hyperlink" Target="https://github.com/expertiza/expertiza/pull/386" TargetMode="External"/><Relationship Id="rId317" Type="http://schemas.openxmlformats.org/officeDocument/2006/relationships/hyperlink" Target="https://github.com/expertiza/expertiza/pull/387" TargetMode="External"/><Relationship Id="rId312" Type="http://schemas.openxmlformats.org/officeDocument/2006/relationships/hyperlink" Target="https://github.com/expertiza/expertiza/pull/397" TargetMode="External"/><Relationship Id="rId311" Type="http://schemas.openxmlformats.org/officeDocument/2006/relationships/hyperlink" Target="https://github.com/expertiza/expertiza/pull/381" TargetMode="External"/><Relationship Id="rId310" Type="http://schemas.openxmlformats.org/officeDocument/2006/relationships/hyperlink" Target="https://github.com/expertiza/expertiza/pull/38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outlineLevelRow="1"/>
  <cols>
    <col customWidth="1" min="1" max="1" width="15.5"/>
    <col customWidth="1" min="2" max="2" width="11.75"/>
    <col customWidth="1" min="3" max="3" width="34.13"/>
    <col customWidth="1" min="4" max="4" width="57.88"/>
    <col customWidth="1" min="5" max="5" width="72.13"/>
    <col customWidth="1" min="6" max="6" width="33.0"/>
    <col customWidth="1" min="7" max="7" width="23.63"/>
    <col customWidth="1" min="8" max="8" width="19.25"/>
    <col customWidth="1" min="9" max="9" width="10.63"/>
    <col customWidth="1" min="10" max="10" width="13.0"/>
    <col customWidth="1" min="11" max="11" width="79.0"/>
    <col customWidth="1" min="12" max="12" width="20.75"/>
    <col customWidth="1" min="13" max="13" width="63.63"/>
  </cols>
  <sheetData>
    <row r="1">
      <c r="A1" s="1" t="s">
        <v>0</v>
      </c>
      <c r="B1" s="2" t="s">
        <v>1</v>
      </c>
      <c r="C1" s="3" t="s">
        <v>2</v>
      </c>
      <c r="D1" s="2" t="s">
        <v>3</v>
      </c>
      <c r="E1" s="4" t="s">
        <v>4</v>
      </c>
      <c r="F1" s="5" t="s">
        <v>5</v>
      </c>
      <c r="G1" s="6" t="s">
        <v>6</v>
      </c>
      <c r="H1" s="6" t="s">
        <v>7</v>
      </c>
      <c r="I1" s="5" t="s">
        <v>8</v>
      </c>
      <c r="J1" s="5" t="s">
        <v>9</v>
      </c>
      <c r="K1" s="7" t="s">
        <v>10</v>
      </c>
      <c r="L1" s="8" t="s">
        <v>11</v>
      </c>
      <c r="M1" s="9" t="s">
        <v>12</v>
      </c>
      <c r="N1" s="10"/>
      <c r="O1" s="10"/>
      <c r="P1" s="10"/>
      <c r="Q1" s="10"/>
      <c r="R1" s="10"/>
      <c r="S1" s="10"/>
      <c r="T1" s="10"/>
      <c r="U1" s="10"/>
      <c r="V1" s="10"/>
      <c r="W1" s="10"/>
      <c r="X1" s="10"/>
      <c r="Y1" s="10"/>
      <c r="Z1" s="10"/>
      <c r="AA1" s="10"/>
    </row>
    <row r="2">
      <c r="A2" s="11" t="s">
        <v>13</v>
      </c>
      <c r="B2" s="12" t="s">
        <v>14</v>
      </c>
      <c r="C2" s="12" t="s">
        <v>15</v>
      </c>
      <c r="D2" s="13" t="s">
        <v>16</v>
      </c>
      <c r="E2" s="14" t="s">
        <v>17</v>
      </c>
      <c r="F2" s="15" t="s">
        <v>18</v>
      </c>
      <c r="G2" s="16" t="s">
        <v>18</v>
      </c>
      <c r="H2" s="1" t="s">
        <v>19</v>
      </c>
      <c r="I2" s="17">
        <v>97.0</v>
      </c>
      <c r="J2" s="18">
        <v>85.0</v>
      </c>
      <c r="K2" s="19" t="s">
        <v>20</v>
      </c>
      <c r="M2" s="20" t="s">
        <v>21</v>
      </c>
      <c r="N2" s="21"/>
    </row>
    <row r="3">
      <c r="B3" s="22" t="s">
        <v>22</v>
      </c>
      <c r="C3" s="22"/>
      <c r="D3" s="23" t="s">
        <v>23</v>
      </c>
      <c r="E3" s="24"/>
      <c r="F3" s="25"/>
      <c r="G3" s="26"/>
      <c r="H3" s="27"/>
      <c r="I3" s="28"/>
      <c r="J3" s="29"/>
      <c r="K3" s="30"/>
      <c r="L3" s="31"/>
      <c r="M3" s="32"/>
      <c r="N3" s="21"/>
    </row>
    <row r="4">
      <c r="B4" s="12" t="s">
        <v>24</v>
      </c>
      <c r="C4" s="12" t="s">
        <v>25</v>
      </c>
      <c r="D4" s="13" t="s">
        <v>26</v>
      </c>
      <c r="E4" s="14" t="s">
        <v>27</v>
      </c>
      <c r="F4" s="15" t="s">
        <v>18</v>
      </c>
      <c r="G4" s="16" t="s">
        <v>18</v>
      </c>
      <c r="H4" s="1" t="s">
        <v>19</v>
      </c>
      <c r="I4" s="33">
        <v>96.0</v>
      </c>
      <c r="J4" s="18">
        <v>99.0</v>
      </c>
      <c r="K4" s="19" t="s">
        <v>28</v>
      </c>
      <c r="M4" s="20" t="s">
        <v>29</v>
      </c>
      <c r="N4" s="21"/>
    </row>
    <row r="5">
      <c r="B5" s="12" t="s">
        <v>30</v>
      </c>
      <c r="C5" s="12" t="s">
        <v>31</v>
      </c>
      <c r="D5" s="13" t="s">
        <v>32</v>
      </c>
      <c r="E5" s="14" t="s">
        <v>33</v>
      </c>
      <c r="F5" s="15" t="s">
        <v>19</v>
      </c>
      <c r="G5" s="16" t="s">
        <v>19</v>
      </c>
      <c r="H5" s="1" t="s">
        <v>18</v>
      </c>
      <c r="I5" s="17">
        <v>91.0</v>
      </c>
      <c r="J5" s="18">
        <v>98.0</v>
      </c>
      <c r="K5" s="19" t="s">
        <v>34</v>
      </c>
      <c r="M5" s="20" t="s">
        <v>35</v>
      </c>
      <c r="N5" s="21"/>
    </row>
    <row r="6">
      <c r="B6" s="12" t="s">
        <v>36</v>
      </c>
      <c r="C6" s="12" t="s">
        <v>37</v>
      </c>
      <c r="D6" s="13" t="s">
        <v>38</v>
      </c>
      <c r="E6" s="14" t="s">
        <v>39</v>
      </c>
      <c r="F6" s="15" t="s">
        <v>40</v>
      </c>
      <c r="G6" s="16" t="s">
        <v>18</v>
      </c>
      <c r="H6" s="1" t="s">
        <v>18</v>
      </c>
      <c r="I6" s="17">
        <v>97.0</v>
      </c>
      <c r="J6" s="18">
        <v>95.0</v>
      </c>
      <c r="K6" s="19" t="s">
        <v>41</v>
      </c>
      <c r="M6" s="20" t="s">
        <v>42</v>
      </c>
      <c r="N6" s="21"/>
    </row>
    <row r="7">
      <c r="B7" s="12" t="s">
        <v>43</v>
      </c>
      <c r="C7" s="34" t="s">
        <v>44</v>
      </c>
      <c r="D7" s="13" t="s">
        <v>45</v>
      </c>
      <c r="E7" s="14" t="s">
        <v>46</v>
      </c>
      <c r="F7" s="15" t="s">
        <v>47</v>
      </c>
      <c r="G7" s="16" t="s">
        <v>18</v>
      </c>
      <c r="H7" s="1" t="s">
        <v>19</v>
      </c>
      <c r="I7" s="17">
        <v>97.0</v>
      </c>
      <c r="J7" s="18">
        <v>93.0</v>
      </c>
      <c r="K7" s="19" t="s">
        <v>48</v>
      </c>
      <c r="M7" s="20" t="s">
        <v>49</v>
      </c>
      <c r="N7" s="21"/>
    </row>
    <row r="8">
      <c r="B8" s="12" t="s">
        <v>50</v>
      </c>
      <c r="C8" s="34" t="s">
        <v>51</v>
      </c>
      <c r="D8" s="13" t="s">
        <v>52</v>
      </c>
      <c r="E8" s="14" t="s">
        <v>53</v>
      </c>
      <c r="F8" s="15" t="s">
        <v>19</v>
      </c>
      <c r="G8" s="16" t="s">
        <v>19</v>
      </c>
      <c r="H8" s="1" t="s">
        <v>18</v>
      </c>
      <c r="I8" s="17">
        <v>87.0</v>
      </c>
      <c r="J8" s="18">
        <v>91.0</v>
      </c>
      <c r="K8" s="19" t="s">
        <v>54</v>
      </c>
      <c r="M8" s="20" t="s">
        <v>55</v>
      </c>
      <c r="N8" s="21"/>
    </row>
    <row r="9">
      <c r="A9" s="35" t="s">
        <v>56</v>
      </c>
      <c r="B9" s="36" t="s">
        <v>57</v>
      </c>
      <c r="C9" s="36" t="s">
        <v>58</v>
      </c>
      <c r="D9" s="37" t="s">
        <v>59</v>
      </c>
      <c r="E9" s="14" t="s">
        <v>60</v>
      </c>
      <c r="F9" s="38" t="s">
        <v>18</v>
      </c>
      <c r="G9" s="39" t="s">
        <v>18</v>
      </c>
      <c r="H9" s="1" t="s">
        <v>19</v>
      </c>
      <c r="I9" s="39">
        <v>97.0</v>
      </c>
      <c r="J9" s="40">
        <v>89.0</v>
      </c>
      <c r="K9" s="41" t="s">
        <v>61</v>
      </c>
      <c r="M9" s="42" t="s">
        <v>62</v>
      </c>
    </row>
    <row r="10">
      <c r="B10" s="36" t="s">
        <v>63</v>
      </c>
      <c r="C10" s="36" t="s">
        <v>64</v>
      </c>
      <c r="D10" s="37" t="s">
        <v>65</v>
      </c>
      <c r="E10" s="14" t="s">
        <v>66</v>
      </c>
      <c r="F10" s="38" t="s">
        <v>18</v>
      </c>
      <c r="G10" s="43" t="s">
        <v>18</v>
      </c>
      <c r="H10" s="1" t="s">
        <v>19</v>
      </c>
      <c r="I10" s="39">
        <v>93.0</v>
      </c>
      <c r="J10" s="40">
        <v>88.0</v>
      </c>
      <c r="K10" s="41" t="s">
        <v>67</v>
      </c>
      <c r="M10" s="39" t="s">
        <v>68</v>
      </c>
    </row>
    <row r="11">
      <c r="B11" s="36" t="s">
        <v>69</v>
      </c>
      <c r="C11" s="36" t="s">
        <v>70</v>
      </c>
      <c r="D11" s="37" t="s">
        <v>71</v>
      </c>
      <c r="E11" s="14" t="s">
        <v>72</v>
      </c>
      <c r="F11" s="38"/>
      <c r="G11" s="44" t="s">
        <v>73</v>
      </c>
      <c r="H11" s="1" t="s">
        <v>18</v>
      </c>
      <c r="I11" s="39">
        <v>90.0</v>
      </c>
      <c r="J11" s="40">
        <v>88.0</v>
      </c>
      <c r="K11" s="41" t="s">
        <v>74</v>
      </c>
      <c r="M11" s="39" t="s">
        <v>75</v>
      </c>
    </row>
    <row r="12">
      <c r="B12" s="36" t="s">
        <v>76</v>
      </c>
      <c r="C12" s="36" t="s">
        <v>77</v>
      </c>
      <c r="D12" s="37" t="s">
        <v>78</v>
      </c>
      <c r="E12" s="14" t="s">
        <v>79</v>
      </c>
      <c r="F12" s="38"/>
      <c r="G12" s="39" t="s">
        <v>80</v>
      </c>
      <c r="H12" s="1" t="s">
        <v>18</v>
      </c>
      <c r="I12" s="39">
        <v>96.0</v>
      </c>
      <c r="J12" s="40">
        <v>93.0</v>
      </c>
      <c r="K12" s="45" t="s">
        <v>81</v>
      </c>
      <c r="M12" s="39" t="s">
        <v>82</v>
      </c>
    </row>
    <row r="13">
      <c r="B13" s="36" t="s">
        <v>83</v>
      </c>
      <c r="C13" s="36" t="s">
        <v>84</v>
      </c>
      <c r="D13" s="37" t="s">
        <v>85</v>
      </c>
      <c r="E13" s="14" t="s">
        <v>86</v>
      </c>
      <c r="F13" s="38" t="s">
        <v>19</v>
      </c>
      <c r="G13" s="39" t="s">
        <v>19</v>
      </c>
      <c r="H13" s="1" t="s">
        <v>87</v>
      </c>
      <c r="I13" s="39">
        <v>90.0</v>
      </c>
      <c r="J13" s="40">
        <v>75.0</v>
      </c>
      <c r="K13" s="41" t="s">
        <v>88</v>
      </c>
      <c r="M13" s="39" t="s">
        <v>89</v>
      </c>
    </row>
    <row r="14">
      <c r="B14" s="36" t="s">
        <v>90</v>
      </c>
      <c r="C14" s="36" t="s">
        <v>91</v>
      </c>
      <c r="D14" s="37" t="s">
        <v>92</v>
      </c>
      <c r="E14" s="14" t="s">
        <v>93</v>
      </c>
      <c r="F14" s="38" t="s">
        <v>18</v>
      </c>
      <c r="G14" s="39" t="s">
        <v>94</v>
      </c>
      <c r="H14" s="1" t="s">
        <v>19</v>
      </c>
      <c r="I14" s="39">
        <v>91.0</v>
      </c>
      <c r="J14" s="40">
        <v>98.0</v>
      </c>
      <c r="K14" s="41" t="s">
        <v>95</v>
      </c>
      <c r="M14" s="39" t="s">
        <v>96</v>
      </c>
    </row>
    <row r="15">
      <c r="B15" s="36" t="s">
        <v>97</v>
      </c>
      <c r="C15" s="36" t="s">
        <v>98</v>
      </c>
      <c r="D15" s="37" t="s">
        <v>99</v>
      </c>
      <c r="E15" s="14" t="s">
        <v>100</v>
      </c>
      <c r="F15" s="38" t="s">
        <v>18</v>
      </c>
      <c r="G15" s="39" t="s">
        <v>18</v>
      </c>
      <c r="H15" s="1"/>
      <c r="I15" s="39">
        <v>94.0</v>
      </c>
      <c r="J15" s="40">
        <v>98.0</v>
      </c>
      <c r="K15" s="41" t="s">
        <v>101</v>
      </c>
      <c r="M15" s="39" t="s">
        <v>102</v>
      </c>
    </row>
    <row r="16">
      <c r="B16" s="36" t="s">
        <v>103</v>
      </c>
      <c r="C16" s="36" t="s">
        <v>104</v>
      </c>
      <c r="D16" s="37" t="s">
        <v>105</v>
      </c>
      <c r="E16" s="14" t="s">
        <v>106</v>
      </c>
      <c r="F16" s="38" t="s">
        <v>19</v>
      </c>
      <c r="G16" s="39" t="s">
        <v>19</v>
      </c>
      <c r="H16" s="1" t="s">
        <v>18</v>
      </c>
      <c r="I16" s="39">
        <v>65.0</v>
      </c>
      <c r="J16" s="40">
        <v>88.0</v>
      </c>
      <c r="K16" s="41" t="s">
        <v>107</v>
      </c>
      <c r="M16" s="39" t="s">
        <v>108</v>
      </c>
    </row>
    <row r="17">
      <c r="B17" s="36" t="s">
        <v>109</v>
      </c>
      <c r="C17" s="36" t="s">
        <v>110</v>
      </c>
      <c r="D17" s="37" t="s">
        <v>111</v>
      </c>
      <c r="E17" s="14" t="s">
        <v>112</v>
      </c>
      <c r="F17" s="38" t="s">
        <v>18</v>
      </c>
      <c r="G17" s="39" t="s">
        <v>18</v>
      </c>
      <c r="H17" s="1" t="s">
        <v>19</v>
      </c>
      <c r="I17" s="39">
        <v>99.0</v>
      </c>
      <c r="J17" s="40">
        <v>91.0</v>
      </c>
      <c r="K17" s="41" t="s">
        <v>113</v>
      </c>
      <c r="M17" s="39" t="s">
        <v>114</v>
      </c>
    </row>
    <row r="18">
      <c r="A18" s="46" t="s">
        <v>115</v>
      </c>
      <c r="B18" s="47" t="s">
        <v>116</v>
      </c>
      <c r="C18" s="48" t="s">
        <v>117</v>
      </c>
      <c r="D18" s="49" t="s">
        <v>118</v>
      </c>
      <c r="E18" s="50" t="s">
        <v>119</v>
      </c>
      <c r="F18" s="51" t="s">
        <v>19</v>
      </c>
      <c r="G18" s="51" t="s">
        <v>19</v>
      </c>
      <c r="H18" s="51" t="s">
        <v>18</v>
      </c>
      <c r="I18" s="51">
        <v>89.0</v>
      </c>
      <c r="J18" s="51">
        <v>94.0</v>
      </c>
      <c r="K18" s="19" t="s">
        <v>120</v>
      </c>
      <c r="M18" s="19" t="s">
        <v>121</v>
      </c>
    </row>
    <row r="19">
      <c r="B19" s="52" t="s">
        <v>122</v>
      </c>
      <c r="C19" s="48" t="s">
        <v>123</v>
      </c>
      <c r="D19" s="53" t="s">
        <v>124</v>
      </c>
      <c r="E19" s="50" t="s">
        <v>125</v>
      </c>
      <c r="F19" s="51" t="s">
        <v>18</v>
      </c>
      <c r="G19" s="51" t="s">
        <v>18</v>
      </c>
      <c r="H19" s="51" t="s">
        <v>19</v>
      </c>
      <c r="I19" s="51">
        <v>98.0</v>
      </c>
      <c r="J19" s="51">
        <v>96.0</v>
      </c>
      <c r="K19" s="19" t="s">
        <v>126</v>
      </c>
      <c r="M19" s="19" t="s">
        <v>127</v>
      </c>
    </row>
    <row r="20">
      <c r="B20" s="52" t="s">
        <v>128</v>
      </c>
      <c r="C20" s="48" t="s">
        <v>129</v>
      </c>
      <c r="D20" s="53" t="s">
        <v>130</v>
      </c>
      <c r="E20" s="50" t="s">
        <v>131</v>
      </c>
      <c r="F20" s="51" t="s">
        <v>19</v>
      </c>
      <c r="G20" s="51" t="s">
        <v>132</v>
      </c>
      <c r="H20" s="51" t="s">
        <v>18</v>
      </c>
      <c r="I20" s="51">
        <v>94.0</v>
      </c>
      <c r="J20" s="51">
        <v>98.0</v>
      </c>
      <c r="K20" s="33" t="s">
        <v>133</v>
      </c>
      <c r="M20" s="19" t="s">
        <v>134</v>
      </c>
    </row>
    <row r="21">
      <c r="B21" s="52" t="s">
        <v>135</v>
      </c>
      <c r="C21" s="48" t="s">
        <v>136</v>
      </c>
      <c r="D21" s="53" t="s">
        <v>137</v>
      </c>
      <c r="E21" s="50" t="s">
        <v>138</v>
      </c>
      <c r="F21" s="51" t="s">
        <v>18</v>
      </c>
      <c r="G21" s="51" t="s">
        <v>18</v>
      </c>
      <c r="H21" s="51"/>
      <c r="I21" s="51">
        <v>97.0</v>
      </c>
      <c r="J21" s="51">
        <v>89.0</v>
      </c>
      <c r="K21" s="19" t="s">
        <v>139</v>
      </c>
      <c r="M21" s="19" t="s">
        <v>140</v>
      </c>
    </row>
    <row r="22">
      <c r="B22" s="52" t="s">
        <v>141</v>
      </c>
      <c r="C22" s="48" t="s">
        <v>142</v>
      </c>
      <c r="D22" s="54" t="s">
        <v>143</v>
      </c>
      <c r="E22" s="55" t="s">
        <v>144</v>
      </c>
      <c r="F22" s="51" t="s">
        <v>19</v>
      </c>
      <c r="G22" s="51" t="s">
        <v>145</v>
      </c>
      <c r="H22" s="51"/>
      <c r="I22" s="56">
        <v>95.0</v>
      </c>
      <c r="J22" s="18">
        <v>93.0</v>
      </c>
      <c r="K22" s="20" t="s">
        <v>146</v>
      </c>
      <c r="M22" s="19" t="s">
        <v>147</v>
      </c>
    </row>
    <row r="23">
      <c r="B23" s="52" t="s">
        <v>148</v>
      </c>
      <c r="C23" s="48" t="s">
        <v>149</v>
      </c>
      <c r="D23" s="54" t="s">
        <v>150</v>
      </c>
      <c r="E23" s="57" t="s">
        <v>151</v>
      </c>
      <c r="F23" s="51" t="s">
        <v>18</v>
      </c>
      <c r="G23" s="51" t="s">
        <v>18</v>
      </c>
      <c r="H23" s="51"/>
      <c r="I23" s="51">
        <v>95.0</v>
      </c>
      <c r="J23" s="51">
        <v>92.0</v>
      </c>
      <c r="K23" s="19" t="s">
        <v>152</v>
      </c>
      <c r="M23" s="19" t="s">
        <v>153</v>
      </c>
    </row>
    <row r="24">
      <c r="B24" s="52" t="s">
        <v>154</v>
      </c>
      <c r="C24" s="48" t="s">
        <v>155</v>
      </c>
      <c r="D24" s="54" t="s">
        <v>156</v>
      </c>
      <c r="E24" s="57" t="s">
        <v>157</v>
      </c>
      <c r="F24" s="51" t="s">
        <v>18</v>
      </c>
      <c r="G24" s="51" t="s">
        <v>18</v>
      </c>
      <c r="H24" s="51"/>
      <c r="I24" s="51">
        <v>89.0</v>
      </c>
      <c r="J24" s="51">
        <v>97.0</v>
      </c>
      <c r="K24" s="19" t="s">
        <v>158</v>
      </c>
      <c r="M24" s="19" t="s">
        <v>159</v>
      </c>
    </row>
    <row r="25">
      <c r="B25" s="52" t="s">
        <v>160</v>
      </c>
      <c r="C25" s="48" t="s">
        <v>77</v>
      </c>
      <c r="D25" s="54" t="s">
        <v>161</v>
      </c>
      <c r="E25" s="57" t="s">
        <v>162</v>
      </c>
      <c r="F25" s="51" t="s">
        <v>19</v>
      </c>
      <c r="G25" s="51" t="s">
        <v>19</v>
      </c>
      <c r="H25" s="51"/>
      <c r="I25" s="51">
        <v>89.0</v>
      </c>
      <c r="J25" s="51">
        <v>94.0</v>
      </c>
      <c r="K25" s="19" t="s">
        <v>163</v>
      </c>
      <c r="M25" s="19" t="s">
        <v>164</v>
      </c>
    </row>
    <row r="26">
      <c r="B26" s="52" t="s">
        <v>165</v>
      </c>
      <c r="C26" s="48" t="s">
        <v>166</v>
      </c>
      <c r="D26" s="54" t="s">
        <v>167</v>
      </c>
      <c r="E26" s="55" t="s">
        <v>168</v>
      </c>
      <c r="F26" s="51" t="s">
        <v>19</v>
      </c>
      <c r="G26" s="33" t="s">
        <v>169</v>
      </c>
      <c r="H26" s="51"/>
      <c r="I26" s="51">
        <v>95.0</v>
      </c>
      <c r="J26" s="51">
        <v>87.0</v>
      </c>
      <c r="K26" s="58" t="s">
        <v>170</v>
      </c>
      <c r="M26" s="19" t="s">
        <v>171</v>
      </c>
    </row>
    <row r="27">
      <c r="B27" s="52" t="s">
        <v>172</v>
      </c>
      <c r="C27" s="48" t="s">
        <v>173</v>
      </c>
      <c r="D27" s="54" t="s">
        <v>174</v>
      </c>
      <c r="E27" s="57" t="s">
        <v>175</v>
      </c>
      <c r="F27" s="51" t="s">
        <v>19</v>
      </c>
      <c r="G27" s="51" t="s">
        <v>19</v>
      </c>
      <c r="H27" s="51"/>
      <c r="I27" s="51">
        <v>90.0</v>
      </c>
      <c r="J27" s="51">
        <v>95.0</v>
      </c>
      <c r="K27" s="19" t="s">
        <v>176</v>
      </c>
      <c r="M27" s="19" t="s">
        <v>177</v>
      </c>
    </row>
    <row r="28">
      <c r="B28" s="52" t="s">
        <v>178</v>
      </c>
      <c r="C28" s="48" t="s">
        <v>15</v>
      </c>
      <c r="D28" s="54" t="s">
        <v>179</v>
      </c>
      <c r="E28" s="57" t="s">
        <v>180</v>
      </c>
      <c r="F28" s="51" t="s">
        <v>19</v>
      </c>
      <c r="G28" s="33" t="s">
        <v>181</v>
      </c>
      <c r="H28" s="51"/>
      <c r="I28" s="51">
        <v>90.0</v>
      </c>
      <c r="J28" s="51">
        <v>92.0</v>
      </c>
      <c r="K28" s="19" t="s">
        <v>182</v>
      </c>
      <c r="M28" s="19" t="s">
        <v>183</v>
      </c>
    </row>
    <row r="29">
      <c r="B29" s="52" t="s">
        <v>184</v>
      </c>
      <c r="C29" s="48" t="s">
        <v>185</v>
      </c>
      <c r="D29" s="54" t="s">
        <v>186</v>
      </c>
      <c r="E29" s="57" t="s">
        <v>187</v>
      </c>
      <c r="F29" s="51" t="s">
        <v>18</v>
      </c>
      <c r="G29" s="51" t="s">
        <v>18</v>
      </c>
      <c r="H29" s="51"/>
      <c r="I29" s="51">
        <v>95.0</v>
      </c>
      <c r="J29" s="51">
        <v>91.0</v>
      </c>
      <c r="K29" s="19" t="s">
        <v>188</v>
      </c>
      <c r="M29" s="19" t="s">
        <v>189</v>
      </c>
    </row>
    <row r="30">
      <c r="B30" s="52" t="s">
        <v>190</v>
      </c>
      <c r="C30" s="48" t="s">
        <v>191</v>
      </c>
      <c r="D30" s="54" t="s">
        <v>192</v>
      </c>
      <c r="E30" s="57" t="s">
        <v>193</v>
      </c>
      <c r="F30" s="33" t="s">
        <v>194</v>
      </c>
      <c r="G30" s="33" t="s">
        <v>195</v>
      </c>
      <c r="H30" s="51" t="s">
        <v>196</v>
      </c>
      <c r="I30" s="51">
        <v>93.0</v>
      </c>
      <c r="J30" s="51">
        <v>88.0</v>
      </c>
      <c r="K30" s="19" t="s">
        <v>197</v>
      </c>
      <c r="M30" s="19" t="s">
        <v>198</v>
      </c>
    </row>
    <row r="31">
      <c r="B31" s="52" t="s">
        <v>199</v>
      </c>
      <c r="C31" s="48" t="s">
        <v>200</v>
      </c>
      <c r="D31" s="59" t="s">
        <v>201</v>
      </c>
      <c r="E31" s="57" t="s">
        <v>202</v>
      </c>
      <c r="F31" s="51" t="s">
        <v>203</v>
      </c>
      <c r="G31" s="51" t="s">
        <v>18</v>
      </c>
      <c r="H31" s="51"/>
      <c r="I31" s="51">
        <v>93.0</v>
      </c>
      <c r="J31" s="51">
        <v>98.0</v>
      </c>
      <c r="K31" s="19" t="s">
        <v>204</v>
      </c>
      <c r="M31" s="19" t="s">
        <v>205</v>
      </c>
    </row>
    <row r="32">
      <c r="A32" s="60" t="s">
        <v>206</v>
      </c>
      <c r="B32" s="61" t="s">
        <v>207</v>
      </c>
      <c r="C32" s="62" t="s">
        <v>208</v>
      </c>
      <c r="D32" s="51" t="s">
        <v>209</v>
      </c>
      <c r="E32" s="50" t="s">
        <v>210</v>
      </c>
      <c r="F32" s="18" t="s">
        <v>18</v>
      </c>
      <c r="G32" s="63" t="s">
        <v>18</v>
      </c>
      <c r="H32" s="64"/>
      <c r="I32" s="65">
        <v>97.0</v>
      </c>
      <c r="J32" s="65">
        <v>96.0</v>
      </c>
      <c r="K32" s="41" t="s">
        <v>211</v>
      </c>
      <c r="M32" s="39" t="s">
        <v>212</v>
      </c>
    </row>
    <row r="33">
      <c r="B33" s="61" t="s">
        <v>213</v>
      </c>
      <c r="C33" s="62" t="s">
        <v>214</v>
      </c>
      <c r="D33" s="51" t="s">
        <v>215</v>
      </c>
      <c r="E33" s="50" t="s">
        <v>216</v>
      </c>
      <c r="F33" s="18" t="s">
        <v>18</v>
      </c>
      <c r="G33" s="63" t="s">
        <v>18</v>
      </c>
      <c r="H33" s="64"/>
      <c r="I33" s="65">
        <v>97.0</v>
      </c>
      <c r="J33" s="65">
        <v>94.0</v>
      </c>
      <c r="K33" s="41" t="s">
        <v>217</v>
      </c>
      <c r="M33" s="39" t="s">
        <v>218</v>
      </c>
    </row>
    <row r="34">
      <c r="B34" s="61" t="s">
        <v>219</v>
      </c>
      <c r="C34" s="62" t="s">
        <v>220</v>
      </c>
      <c r="D34" s="51" t="s">
        <v>221</v>
      </c>
      <c r="E34" s="50" t="s">
        <v>222</v>
      </c>
      <c r="F34" s="66"/>
      <c r="G34" s="63" t="s">
        <v>223</v>
      </c>
      <c r="H34" s="64"/>
      <c r="I34" s="65">
        <v>93.0</v>
      </c>
      <c r="J34" s="65">
        <v>90.0</v>
      </c>
      <c r="K34" s="41" t="s">
        <v>224</v>
      </c>
      <c r="M34" s="39" t="s">
        <v>225</v>
      </c>
    </row>
    <row r="35">
      <c r="B35" s="61" t="s">
        <v>226</v>
      </c>
      <c r="C35" s="62" t="s">
        <v>91</v>
      </c>
      <c r="D35" s="51" t="s">
        <v>227</v>
      </c>
      <c r="E35" s="50" t="s">
        <v>228</v>
      </c>
      <c r="F35" s="18" t="s">
        <v>19</v>
      </c>
      <c r="G35" s="63" t="s">
        <v>19</v>
      </c>
      <c r="H35" s="64"/>
      <c r="I35" s="65">
        <v>85.0</v>
      </c>
      <c r="J35" s="65">
        <v>93.0</v>
      </c>
      <c r="K35" s="41" t="s">
        <v>229</v>
      </c>
      <c r="M35" s="39" t="s">
        <v>230</v>
      </c>
    </row>
    <row r="36">
      <c r="B36" s="61" t="s">
        <v>231</v>
      </c>
      <c r="C36" s="62" t="s">
        <v>232</v>
      </c>
      <c r="D36" s="51" t="s">
        <v>233</v>
      </c>
      <c r="E36" s="50" t="s">
        <v>234</v>
      </c>
      <c r="F36" s="18" t="s">
        <v>235</v>
      </c>
      <c r="G36" s="63" t="s">
        <v>236</v>
      </c>
      <c r="H36" s="64"/>
      <c r="I36" s="65">
        <v>94.0</v>
      </c>
      <c r="J36" s="65">
        <v>99.0</v>
      </c>
      <c r="K36" s="41" t="s">
        <v>237</v>
      </c>
      <c r="M36" s="39" t="s">
        <v>238</v>
      </c>
    </row>
    <row r="37">
      <c r="B37" s="61" t="s">
        <v>239</v>
      </c>
      <c r="C37" s="62" t="s">
        <v>98</v>
      </c>
      <c r="D37" s="51" t="s">
        <v>240</v>
      </c>
      <c r="E37" s="50" t="s">
        <v>241</v>
      </c>
      <c r="F37" s="18" t="s">
        <v>18</v>
      </c>
      <c r="G37" s="63" t="s">
        <v>18</v>
      </c>
      <c r="H37" s="64"/>
      <c r="I37" s="65">
        <v>96.0</v>
      </c>
      <c r="J37" s="65">
        <v>96.0</v>
      </c>
      <c r="K37" s="41" t="s">
        <v>242</v>
      </c>
      <c r="M37" s="39" t="s">
        <v>243</v>
      </c>
    </row>
    <row r="38">
      <c r="B38" s="61" t="s">
        <v>244</v>
      </c>
      <c r="C38" s="62" t="s">
        <v>245</v>
      </c>
      <c r="D38" s="51" t="s">
        <v>246</v>
      </c>
      <c r="E38" s="50" t="s">
        <v>247</v>
      </c>
      <c r="F38" s="18" t="s">
        <v>18</v>
      </c>
      <c r="G38" s="63" t="s">
        <v>18</v>
      </c>
      <c r="H38" s="64"/>
      <c r="I38" s="65">
        <v>95.0</v>
      </c>
      <c r="J38" s="65">
        <v>96.0</v>
      </c>
      <c r="K38" s="41" t="s">
        <v>248</v>
      </c>
      <c r="M38" s="39" t="s">
        <v>249</v>
      </c>
    </row>
    <row r="39">
      <c r="B39" s="61" t="s">
        <v>250</v>
      </c>
      <c r="C39" s="62" t="s">
        <v>251</v>
      </c>
      <c r="D39" s="51" t="s">
        <v>252</v>
      </c>
      <c r="E39" s="50" t="s">
        <v>253</v>
      </c>
      <c r="F39" s="18" t="s">
        <v>18</v>
      </c>
      <c r="G39" s="63" t="s">
        <v>18</v>
      </c>
      <c r="H39" s="64"/>
      <c r="I39" s="65">
        <v>98.0</v>
      </c>
      <c r="J39" s="65">
        <v>98.0</v>
      </c>
      <c r="K39" s="41" t="s">
        <v>254</v>
      </c>
      <c r="M39" s="39" t="s">
        <v>255</v>
      </c>
    </row>
    <row r="40">
      <c r="B40" s="61" t="s">
        <v>256</v>
      </c>
      <c r="C40" s="62" t="s">
        <v>257</v>
      </c>
      <c r="D40" s="51" t="s">
        <v>258</v>
      </c>
      <c r="E40" s="50" t="s">
        <v>259</v>
      </c>
      <c r="F40" s="18" t="s">
        <v>19</v>
      </c>
      <c r="G40" s="63" t="s">
        <v>19</v>
      </c>
      <c r="H40" s="64"/>
      <c r="I40" s="65">
        <v>94.0</v>
      </c>
      <c r="J40" s="65">
        <v>91.0</v>
      </c>
      <c r="K40" s="41" t="s">
        <v>260</v>
      </c>
      <c r="M40" s="39" t="s">
        <v>261</v>
      </c>
    </row>
    <row r="41">
      <c r="B41" s="61" t="s">
        <v>262</v>
      </c>
      <c r="C41" s="62" t="s">
        <v>263</v>
      </c>
      <c r="D41" s="51" t="s">
        <v>264</v>
      </c>
      <c r="E41" s="51" t="s">
        <v>264</v>
      </c>
      <c r="F41" s="18" t="s">
        <v>19</v>
      </c>
      <c r="G41" s="63" t="s">
        <v>265</v>
      </c>
      <c r="H41" s="64" t="s">
        <v>266</v>
      </c>
      <c r="I41" s="65">
        <v>94.0</v>
      </c>
      <c r="J41" s="65">
        <v>95.0</v>
      </c>
      <c r="K41" s="41" t="s">
        <v>267</v>
      </c>
      <c r="M41" s="39" t="s">
        <v>268</v>
      </c>
    </row>
    <row r="42">
      <c r="B42" s="61" t="s">
        <v>269</v>
      </c>
      <c r="C42" s="62" t="s">
        <v>270</v>
      </c>
      <c r="D42" s="51" t="s">
        <v>271</v>
      </c>
      <c r="E42" s="50" t="s">
        <v>272</v>
      </c>
      <c r="F42" s="18" t="s">
        <v>19</v>
      </c>
      <c r="G42" s="63" t="s">
        <v>273</v>
      </c>
      <c r="H42" s="64"/>
      <c r="I42" s="65">
        <v>93.0</v>
      </c>
      <c r="J42" s="65">
        <v>85.0</v>
      </c>
      <c r="K42" s="41" t="s">
        <v>274</v>
      </c>
      <c r="M42" s="39" t="s">
        <v>275</v>
      </c>
    </row>
    <row r="43">
      <c r="B43" s="61" t="s">
        <v>276</v>
      </c>
      <c r="C43" s="62" t="s">
        <v>277</v>
      </c>
      <c r="D43" s="51" t="s">
        <v>278</v>
      </c>
      <c r="E43" s="50" t="s">
        <v>279</v>
      </c>
      <c r="F43" s="18" t="s">
        <v>18</v>
      </c>
      <c r="G43" s="63" t="s">
        <v>18</v>
      </c>
      <c r="H43" s="64"/>
      <c r="I43" s="65">
        <v>95.0</v>
      </c>
      <c r="J43" s="65">
        <v>93.0</v>
      </c>
      <c r="K43" s="41" t="s">
        <v>280</v>
      </c>
      <c r="M43" s="39" t="s">
        <v>281</v>
      </c>
    </row>
    <row r="44">
      <c r="B44" s="67" t="s">
        <v>282</v>
      </c>
      <c r="C44" s="32"/>
      <c r="D44" s="67" t="s">
        <v>23</v>
      </c>
      <c r="E44" s="68"/>
      <c r="F44" s="29"/>
      <c r="G44" s="69"/>
      <c r="H44" s="70"/>
      <c r="I44" s="71"/>
      <c r="J44" s="71"/>
      <c r="K44" s="72"/>
      <c r="L44" s="31"/>
      <c r="M44" s="73"/>
    </row>
    <row r="45">
      <c r="B45" s="61" t="s">
        <v>283</v>
      </c>
      <c r="C45" s="62" t="s">
        <v>284</v>
      </c>
      <c r="D45" s="51" t="s">
        <v>285</v>
      </c>
      <c r="E45" s="50" t="s">
        <v>286</v>
      </c>
      <c r="F45" s="18" t="s">
        <v>18</v>
      </c>
      <c r="G45" s="63" t="s">
        <v>18</v>
      </c>
      <c r="H45" s="64"/>
      <c r="I45" s="65">
        <v>97.0</v>
      </c>
      <c r="J45" s="65">
        <v>93.0</v>
      </c>
      <c r="K45" s="41" t="s">
        <v>287</v>
      </c>
      <c r="M45" s="39" t="s">
        <v>288</v>
      </c>
    </row>
    <row r="46">
      <c r="B46" s="61" t="s">
        <v>289</v>
      </c>
      <c r="C46" s="74" t="s">
        <v>84</v>
      </c>
      <c r="D46" s="51" t="s">
        <v>290</v>
      </c>
      <c r="E46" s="50" t="s">
        <v>291</v>
      </c>
      <c r="F46" s="18" t="s">
        <v>19</v>
      </c>
      <c r="G46" s="63" t="s">
        <v>19</v>
      </c>
      <c r="H46" s="64"/>
      <c r="I46" s="65">
        <v>87.0</v>
      </c>
      <c r="J46" s="65">
        <v>77.0</v>
      </c>
      <c r="K46" s="41" t="s">
        <v>292</v>
      </c>
      <c r="M46" s="39" t="s">
        <v>293</v>
      </c>
    </row>
    <row r="47">
      <c r="B47" s="61" t="s">
        <v>294</v>
      </c>
      <c r="C47" s="62" t="s">
        <v>295</v>
      </c>
      <c r="D47" s="51" t="s">
        <v>296</v>
      </c>
      <c r="E47" s="50" t="s">
        <v>297</v>
      </c>
      <c r="F47" s="18" t="s">
        <v>18</v>
      </c>
      <c r="G47" s="63" t="s">
        <v>298</v>
      </c>
      <c r="H47" s="64"/>
      <c r="I47" s="65">
        <v>96.0</v>
      </c>
      <c r="J47" s="65">
        <v>85.0</v>
      </c>
      <c r="K47" s="41" t="s">
        <v>299</v>
      </c>
      <c r="M47" s="39" t="s">
        <v>300</v>
      </c>
    </row>
    <row r="48">
      <c r="B48" s="61" t="s">
        <v>301</v>
      </c>
      <c r="C48" s="62" t="s">
        <v>302</v>
      </c>
      <c r="D48" s="51" t="s">
        <v>303</v>
      </c>
      <c r="E48" s="50" t="s">
        <v>304</v>
      </c>
      <c r="F48" s="75" t="s">
        <v>305</v>
      </c>
      <c r="G48" s="63" t="s">
        <v>306</v>
      </c>
      <c r="H48" s="64"/>
      <c r="I48" s="65">
        <v>97.0</v>
      </c>
      <c r="J48" s="65">
        <v>96.0</v>
      </c>
      <c r="K48" s="41" t="s">
        <v>307</v>
      </c>
      <c r="M48" s="39" t="s">
        <v>308</v>
      </c>
    </row>
    <row r="49">
      <c r="B49" s="61" t="s">
        <v>309</v>
      </c>
      <c r="C49" s="62" t="s">
        <v>310</v>
      </c>
      <c r="D49" s="51" t="s">
        <v>311</v>
      </c>
      <c r="E49" s="50" t="s">
        <v>312</v>
      </c>
      <c r="F49" s="66"/>
      <c r="G49" s="63" t="s">
        <v>313</v>
      </c>
      <c r="H49" s="64"/>
      <c r="I49" s="65">
        <v>92.0</v>
      </c>
      <c r="J49" s="65">
        <v>91.0</v>
      </c>
      <c r="K49" s="41" t="s">
        <v>314</v>
      </c>
      <c r="M49" s="39" t="s">
        <v>315</v>
      </c>
    </row>
    <row r="50">
      <c r="B50" s="61" t="s">
        <v>316</v>
      </c>
      <c r="C50" s="62" t="s">
        <v>317</v>
      </c>
      <c r="D50" s="51" t="s">
        <v>318</v>
      </c>
      <c r="E50" s="50" t="s">
        <v>319</v>
      </c>
      <c r="F50" s="18" t="s">
        <v>18</v>
      </c>
      <c r="G50" s="63" t="s">
        <v>18</v>
      </c>
      <c r="H50" s="64"/>
      <c r="I50" s="65">
        <v>99.0</v>
      </c>
      <c r="J50" s="65">
        <v>93.0</v>
      </c>
      <c r="K50" s="41" t="s">
        <v>320</v>
      </c>
      <c r="M50" s="39" t="s">
        <v>321</v>
      </c>
    </row>
    <row r="51">
      <c r="B51" s="61" t="s">
        <v>322</v>
      </c>
      <c r="C51" s="62" t="s">
        <v>323</v>
      </c>
      <c r="D51" s="51" t="s">
        <v>324</v>
      </c>
      <c r="E51" s="50" t="s">
        <v>325</v>
      </c>
      <c r="F51" s="75" t="s">
        <v>19</v>
      </c>
      <c r="G51" s="63" t="s">
        <v>326</v>
      </c>
      <c r="H51" s="64"/>
      <c r="I51" s="65">
        <v>97.0</v>
      </c>
      <c r="J51" s="65">
        <v>92.0</v>
      </c>
      <c r="K51" s="76" t="s">
        <v>327</v>
      </c>
      <c r="M51" s="39" t="s">
        <v>328</v>
      </c>
    </row>
    <row r="52">
      <c r="B52" s="77" t="s">
        <v>329</v>
      </c>
      <c r="C52" s="78"/>
      <c r="D52" s="77" t="s">
        <v>23</v>
      </c>
      <c r="E52" s="79"/>
      <c r="F52" s="80"/>
      <c r="G52" s="81"/>
      <c r="H52" s="82"/>
      <c r="I52" s="83"/>
      <c r="J52" s="83"/>
      <c r="K52" s="84"/>
      <c r="L52" s="85"/>
      <c r="M52" s="86"/>
    </row>
    <row r="53">
      <c r="B53" s="61" t="s">
        <v>330</v>
      </c>
      <c r="C53" s="62" t="s">
        <v>331</v>
      </c>
      <c r="D53" s="51" t="s">
        <v>332</v>
      </c>
      <c r="E53" s="50" t="s">
        <v>333</v>
      </c>
      <c r="F53" s="18" t="s">
        <v>18</v>
      </c>
      <c r="G53" s="63" t="s">
        <v>18</v>
      </c>
      <c r="H53" s="64"/>
      <c r="I53" s="65">
        <v>96.0</v>
      </c>
      <c r="J53" s="65">
        <v>98.0</v>
      </c>
      <c r="K53" s="41" t="s">
        <v>334</v>
      </c>
      <c r="M53" s="39" t="s">
        <v>335</v>
      </c>
    </row>
    <row r="54">
      <c r="A54" s="60"/>
      <c r="B54" s="87" t="s">
        <v>336</v>
      </c>
      <c r="C54" s="88"/>
      <c r="D54" s="89" t="s">
        <v>23</v>
      </c>
      <c r="E54" s="90"/>
      <c r="F54" s="18"/>
      <c r="G54" s="63"/>
      <c r="I54" s="63"/>
      <c r="J54" s="63"/>
      <c r="K54" s="91"/>
      <c r="M54" s="39"/>
    </row>
    <row r="55">
      <c r="A55" s="60"/>
      <c r="B55" s="87" t="s">
        <v>337</v>
      </c>
      <c r="C55" s="88"/>
      <c r="D55" s="89" t="s">
        <v>23</v>
      </c>
      <c r="E55" s="90"/>
      <c r="F55" s="18"/>
      <c r="G55" s="63"/>
      <c r="I55" s="63"/>
      <c r="J55" s="63"/>
      <c r="K55" s="91"/>
      <c r="M55" s="92"/>
    </row>
    <row r="56">
      <c r="A56" s="93" t="s">
        <v>338</v>
      </c>
      <c r="B56" s="94" t="s">
        <v>339</v>
      </c>
      <c r="C56" s="95" t="s">
        <v>340</v>
      </c>
      <c r="D56" s="89" t="s">
        <v>341</v>
      </c>
      <c r="E56" s="90" t="s">
        <v>342</v>
      </c>
      <c r="F56" s="18" t="s">
        <v>18</v>
      </c>
      <c r="G56" s="63" t="s">
        <v>343</v>
      </c>
      <c r="I56" s="63">
        <v>97.0</v>
      </c>
      <c r="J56" s="63">
        <v>94.0</v>
      </c>
      <c r="K56" s="91" t="s">
        <v>344</v>
      </c>
      <c r="M56" s="89" t="s">
        <v>345</v>
      </c>
      <c r="N56" s="18"/>
    </row>
    <row r="57">
      <c r="B57" s="94" t="s">
        <v>346</v>
      </c>
      <c r="C57" s="95" t="s">
        <v>347</v>
      </c>
      <c r="D57" s="90" t="s">
        <v>348</v>
      </c>
      <c r="E57" s="90" t="s">
        <v>349</v>
      </c>
      <c r="F57" s="18" t="s">
        <v>19</v>
      </c>
      <c r="G57" s="96" t="s">
        <v>350</v>
      </c>
      <c r="I57" s="63">
        <v>96.0</v>
      </c>
      <c r="J57" s="63">
        <v>97.0</v>
      </c>
      <c r="K57" s="89" t="s">
        <v>351</v>
      </c>
      <c r="M57" s="89" t="s">
        <v>352</v>
      </c>
    </row>
    <row r="58">
      <c r="B58" s="94" t="s">
        <v>353</v>
      </c>
      <c r="C58" s="95" t="s">
        <v>15</v>
      </c>
      <c r="D58" s="90" t="s">
        <v>354</v>
      </c>
      <c r="E58" s="90" t="s">
        <v>355</v>
      </c>
      <c r="F58" s="18" t="s">
        <v>19</v>
      </c>
      <c r="G58" s="63" t="s">
        <v>19</v>
      </c>
      <c r="H58" s="18" t="s">
        <v>356</v>
      </c>
      <c r="I58" s="63">
        <v>88.0</v>
      </c>
      <c r="J58" s="63">
        <v>89.0</v>
      </c>
      <c r="K58" s="89" t="s">
        <v>357</v>
      </c>
      <c r="M58" s="89" t="s">
        <v>358</v>
      </c>
    </row>
    <row r="59">
      <c r="B59" s="94" t="s">
        <v>359</v>
      </c>
      <c r="C59" s="95" t="s">
        <v>77</v>
      </c>
      <c r="D59" s="90" t="s">
        <v>360</v>
      </c>
      <c r="E59" s="90" t="s">
        <v>361</v>
      </c>
      <c r="F59" s="18" t="s">
        <v>19</v>
      </c>
      <c r="G59" s="63" t="s">
        <v>362</v>
      </c>
      <c r="I59" s="63">
        <v>92.0</v>
      </c>
      <c r="J59" s="63">
        <v>90.0</v>
      </c>
      <c r="K59" s="91" t="s">
        <v>363</v>
      </c>
      <c r="M59" s="89" t="s">
        <v>364</v>
      </c>
    </row>
    <row r="60">
      <c r="B60" s="94" t="s">
        <v>365</v>
      </c>
      <c r="C60" s="95" t="s">
        <v>366</v>
      </c>
      <c r="D60" s="90" t="s">
        <v>367</v>
      </c>
      <c r="E60" s="97" t="s">
        <v>368</v>
      </c>
      <c r="F60" s="18" t="s">
        <v>18</v>
      </c>
      <c r="G60" s="63" t="s">
        <v>18</v>
      </c>
      <c r="I60" s="63">
        <v>98.0</v>
      </c>
      <c r="J60" s="63">
        <v>92.0</v>
      </c>
      <c r="K60" s="91" t="s">
        <v>369</v>
      </c>
      <c r="M60" s="89" t="s">
        <v>370</v>
      </c>
    </row>
    <row r="61">
      <c r="B61" s="94" t="s">
        <v>371</v>
      </c>
      <c r="C61" s="95" t="s">
        <v>129</v>
      </c>
      <c r="D61" s="90" t="s">
        <v>372</v>
      </c>
      <c r="E61" s="97" t="s">
        <v>373</v>
      </c>
      <c r="F61" s="18" t="s">
        <v>19</v>
      </c>
      <c r="G61" s="89" t="s">
        <v>374</v>
      </c>
      <c r="H61" s="18" t="s">
        <v>7</v>
      </c>
      <c r="I61" s="63">
        <v>90.0</v>
      </c>
      <c r="J61" s="63">
        <v>93.0</v>
      </c>
      <c r="K61" s="91" t="s">
        <v>375</v>
      </c>
      <c r="M61" s="89" t="s">
        <v>376</v>
      </c>
    </row>
    <row r="62">
      <c r="B62" s="94" t="s">
        <v>377</v>
      </c>
      <c r="C62" s="95" t="s">
        <v>123</v>
      </c>
      <c r="D62" s="90" t="s">
        <v>378</v>
      </c>
      <c r="E62" s="90" t="s">
        <v>379</v>
      </c>
      <c r="F62" s="18" t="s">
        <v>19</v>
      </c>
      <c r="G62" s="63" t="s">
        <v>19</v>
      </c>
      <c r="H62" s="18" t="s">
        <v>7</v>
      </c>
      <c r="I62" s="63">
        <v>91.0</v>
      </c>
      <c r="J62" s="63">
        <v>91.0</v>
      </c>
      <c r="K62" s="91" t="s">
        <v>380</v>
      </c>
      <c r="M62" s="89" t="s">
        <v>381</v>
      </c>
    </row>
    <row r="63">
      <c r="B63" s="29" t="s">
        <v>382</v>
      </c>
      <c r="C63" s="98"/>
      <c r="D63" s="99" t="s">
        <v>23</v>
      </c>
      <c r="E63" s="99"/>
      <c r="F63" s="29"/>
      <c r="G63" s="69"/>
      <c r="H63" s="29"/>
      <c r="I63" s="69"/>
      <c r="J63" s="69"/>
      <c r="K63" s="100"/>
      <c r="L63" s="31"/>
      <c r="M63" s="101"/>
    </row>
    <row r="64">
      <c r="B64" s="94" t="s">
        <v>383</v>
      </c>
      <c r="C64" s="95" t="s">
        <v>136</v>
      </c>
      <c r="D64" s="90" t="s">
        <v>384</v>
      </c>
      <c r="E64" s="90" t="s">
        <v>385</v>
      </c>
      <c r="F64" s="18" t="s">
        <v>19</v>
      </c>
      <c r="G64" s="63" t="s">
        <v>386</v>
      </c>
      <c r="H64" s="18" t="s">
        <v>19</v>
      </c>
      <c r="I64" s="63">
        <v>94.0</v>
      </c>
      <c r="J64" s="63">
        <v>95.0</v>
      </c>
      <c r="K64" s="91" t="s">
        <v>387</v>
      </c>
      <c r="M64" s="89" t="s">
        <v>388</v>
      </c>
    </row>
    <row r="65">
      <c r="B65" s="29" t="s">
        <v>389</v>
      </c>
      <c r="C65" s="98"/>
      <c r="D65" s="99" t="s">
        <v>23</v>
      </c>
      <c r="E65" s="99"/>
      <c r="F65" s="29"/>
      <c r="G65" s="69"/>
      <c r="H65" s="29"/>
      <c r="I65" s="69"/>
      <c r="J65" s="69"/>
      <c r="K65" s="100"/>
      <c r="L65" s="31"/>
      <c r="M65" s="101"/>
    </row>
    <row r="66">
      <c r="B66" s="94" t="s">
        <v>390</v>
      </c>
      <c r="C66" s="95" t="s">
        <v>142</v>
      </c>
      <c r="D66" s="90" t="s">
        <v>391</v>
      </c>
      <c r="E66" s="90" t="s">
        <v>392</v>
      </c>
      <c r="F66" s="18" t="s">
        <v>19</v>
      </c>
      <c r="G66" s="63" t="s">
        <v>19</v>
      </c>
      <c r="H66" s="18" t="s">
        <v>7</v>
      </c>
      <c r="I66" s="63">
        <v>95.0</v>
      </c>
      <c r="J66" s="63">
        <v>91.0</v>
      </c>
      <c r="K66" s="91" t="s">
        <v>393</v>
      </c>
      <c r="M66" s="89" t="s">
        <v>394</v>
      </c>
    </row>
    <row r="67">
      <c r="B67" s="94" t="s">
        <v>395</v>
      </c>
      <c r="C67" s="95" t="s">
        <v>117</v>
      </c>
      <c r="D67" s="90" t="s">
        <v>396</v>
      </c>
      <c r="E67" s="97" t="s">
        <v>397</v>
      </c>
      <c r="F67" s="18" t="s">
        <v>19</v>
      </c>
      <c r="G67" s="18" t="s">
        <v>19</v>
      </c>
      <c r="H67" s="18" t="s">
        <v>398</v>
      </c>
      <c r="I67" s="63">
        <v>91.0</v>
      </c>
      <c r="J67" s="63">
        <v>99.0</v>
      </c>
      <c r="K67" s="89" t="s">
        <v>399</v>
      </c>
      <c r="M67" s="89" t="s">
        <v>400</v>
      </c>
    </row>
    <row r="68">
      <c r="A68" s="102" t="s">
        <v>401</v>
      </c>
      <c r="B68" s="103" t="s">
        <v>402</v>
      </c>
      <c r="C68" s="19" t="s">
        <v>403</v>
      </c>
      <c r="D68" s="90" t="s">
        <v>404</v>
      </c>
      <c r="E68" s="90" t="s">
        <v>405</v>
      </c>
      <c r="F68" s="104" t="s">
        <v>18</v>
      </c>
      <c r="G68" s="104" t="s">
        <v>18</v>
      </c>
      <c r="I68" s="105">
        <v>95.0</v>
      </c>
      <c r="J68" s="40">
        <v>96.0</v>
      </c>
      <c r="K68" s="106" t="s">
        <v>406</v>
      </c>
      <c r="M68" s="89" t="s">
        <v>407</v>
      </c>
    </row>
    <row r="69">
      <c r="B69" s="103" t="s">
        <v>408</v>
      </c>
      <c r="C69" s="19" t="s">
        <v>270</v>
      </c>
      <c r="D69" s="90" t="s">
        <v>409</v>
      </c>
      <c r="E69" s="90" t="s">
        <v>410</v>
      </c>
      <c r="F69" s="18" t="s">
        <v>19</v>
      </c>
      <c r="G69" s="104" t="s">
        <v>19</v>
      </c>
      <c r="H69" s="18" t="s">
        <v>7</v>
      </c>
      <c r="I69" s="105">
        <v>85.0</v>
      </c>
      <c r="J69" s="40">
        <v>90.0</v>
      </c>
      <c r="K69" s="106" t="s">
        <v>411</v>
      </c>
      <c r="M69" s="89" t="s">
        <v>412</v>
      </c>
    </row>
    <row r="70">
      <c r="B70" s="103" t="s">
        <v>413</v>
      </c>
      <c r="C70" s="19" t="s">
        <v>251</v>
      </c>
      <c r="D70" s="90" t="s">
        <v>414</v>
      </c>
      <c r="E70" s="97" t="s">
        <v>415</v>
      </c>
      <c r="F70" s="18" t="s">
        <v>18</v>
      </c>
      <c r="G70" s="104" t="s">
        <v>18</v>
      </c>
      <c r="I70" s="105">
        <v>99.0</v>
      </c>
      <c r="J70" s="40">
        <v>100.0</v>
      </c>
      <c r="K70" s="106" t="s">
        <v>416</v>
      </c>
      <c r="M70" s="107" t="s">
        <v>417</v>
      </c>
    </row>
    <row r="71">
      <c r="B71" s="103" t="s">
        <v>418</v>
      </c>
      <c r="C71" s="19" t="s">
        <v>419</v>
      </c>
      <c r="D71" s="90" t="s">
        <v>420</v>
      </c>
      <c r="E71" s="90" t="s">
        <v>421</v>
      </c>
      <c r="F71" s="18" t="s">
        <v>18</v>
      </c>
      <c r="G71" s="39" t="s">
        <v>18</v>
      </c>
      <c r="I71" s="105">
        <v>99.0</v>
      </c>
      <c r="J71" s="40">
        <v>95.0</v>
      </c>
      <c r="K71" s="106" t="s">
        <v>422</v>
      </c>
      <c r="M71" s="89" t="s">
        <v>423</v>
      </c>
    </row>
    <row r="72">
      <c r="B72" s="103" t="s">
        <v>424</v>
      </c>
      <c r="C72" s="19" t="s">
        <v>425</v>
      </c>
      <c r="D72" s="90" t="s">
        <v>426</v>
      </c>
      <c r="E72" s="90" t="s">
        <v>427</v>
      </c>
      <c r="F72" s="18" t="s">
        <v>18</v>
      </c>
      <c r="G72" s="104" t="s">
        <v>18</v>
      </c>
      <c r="I72" s="105">
        <v>95.0</v>
      </c>
      <c r="J72" s="17">
        <v>94.0</v>
      </c>
      <c r="K72" s="106" t="s">
        <v>428</v>
      </c>
      <c r="M72" s="107" t="s">
        <v>429</v>
      </c>
    </row>
    <row r="73">
      <c r="B73" s="103" t="s">
        <v>430</v>
      </c>
      <c r="C73" s="19" t="s">
        <v>431</v>
      </c>
      <c r="D73" s="90" t="s">
        <v>432</v>
      </c>
      <c r="E73" s="90" t="s">
        <v>433</v>
      </c>
      <c r="F73" s="18" t="s">
        <v>18</v>
      </c>
      <c r="G73" s="39" t="s">
        <v>434</v>
      </c>
      <c r="I73" s="105">
        <v>97.0</v>
      </c>
      <c r="J73" s="40">
        <v>95.0</v>
      </c>
      <c r="K73" s="106" t="s">
        <v>435</v>
      </c>
      <c r="M73" s="89" t="s">
        <v>436</v>
      </c>
    </row>
    <row r="74">
      <c r="B74" s="103" t="s">
        <v>437</v>
      </c>
      <c r="C74" s="19" t="s">
        <v>438</v>
      </c>
      <c r="D74" s="90" t="s">
        <v>439</v>
      </c>
      <c r="E74" s="97" t="s">
        <v>440</v>
      </c>
      <c r="F74" s="18" t="s">
        <v>18</v>
      </c>
      <c r="G74" s="39" t="s">
        <v>441</v>
      </c>
      <c r="I74" s="105">
        <v>95.0</v>
      </c>
      <c r="J74" s="40">
        <v>97.0</v>
      </c>
      <c r="K74" s="106" t="s">
        <v>442</v>
      </c>
      <c r="M74" s="89" t="s">
        <v>443</v>
      </c>
    </row>
    <row r="75">
      <c r="B75" s="103" t="s">
        <v>444</v>
      </c>
      <c r="C75" s="19" t="s">
        <v>277</v>
      </c>
      <c r="D75" s="90" t="s">
        <v>445</v>
      </c>
      <c r="E75" s="90" t="s">
        <v>446</v>
      </c>
      <c r="F75" s="18" t="s">
        <v>19</v>
      </c>
      <c r="G75" s="104" t="s">
        <v>19</v>
      </c>
      <c r="H75" s="18" t="s">
        <v>7</v>
      </c>
      <c r="I75" s="105">
        <v>92.0</v>
      </c>
      <c r="J75" s="40">
        <v>91.0</v>
      </c>
      <c r="K75" s="106" t="s">
        <v>447</v>
      </c>
      <c r="M75" s="89" t="s">
        <v>448</v>
      </c>
    </row>
    <row r="76">
      <c r="B76" s="103" t="s">
        <v>449</v>
      </c>
      <c r="C76" s="19" t="s">
        <v>450</v>
      </c>
      <c r="D76" s="90" t="s">
        <v>451</v>
      </c>
      <c r="E76" s="97" t="s">
        <v>452</v>
      </c>
      <c r="F76" s="18" t="s">
        <v>18</v>
      </c>
      <c r="G76" s="108" t="s">
        <v>18</v>
      </c>
      <c r="I76" s="105">
        <v>99.0</v>
      </c>
      <c r="J76" s="40">
        <v>94.0</v>
      </c>
      <c r="K76" s="106" t="s">
        <v>453</v>
      </c>
      <c r="M76" s="89" t="s">
        <v>454</v>
      </c>
    </row>
    <row r="77">
      <c r="B77" s="103" t="s">
        <v>455</v>
      </c>
      <c r="C77" s="19" t="s">
        <v>456</v>
      </c>
      <c r="D77" s="90" t="s">
        <v>457</v>
      </c>
      <c r="E77" s="90" t="s">
        <v>458</v>
      </c>
      <c r="F77" s="18" t="s">
        <v>18</v>
      </c>
      <c r="G77" s="39" t="s">
        <v>18</v>
      </c>
      <c r="I77" s="105">
        <v>95.0</v>
      </c>
      <c r="J77" s="109">
        <v>90.0</v>
      </c>
      <c r="K77" s="19" t="s">
        <v>459</v>
      </c>
      <c r="M77" s="89" t="s">
        <v>460</v>
      </c>
    </row>
    <row r="78">
      <c r="B78" s="103" t="s">
        <v>461</v>
      </c>
      <c r="C78" s="19" t="s">
        <v>462</v>
      </c>
      <c r="D78" s="90" t="s">
        <v>463</v>
      </c>
      <c r="E78" s="90" t="s">
        <v>464</v>
      </c>
      <c r="F78" s="18" t="s">
        <v>18</v>
      </c>
      <c r="G78" s="110" t="s">
        <v>465</v>
      </c>
      <c r="I78" s="105">
        <v>98.0</v>
      </c>
      <c r="J78" s="17">
        <v>98.0</v>
      </c>
      <c r="K78" s="106" t="s">
        <v>466</v>
      </c>
      <c r="M78" s="33" t="s">
        <v>467</v>
      </c>
    </row>
    <row r="79" outlineLevel="1">
      <c r="B79" s="103" t="s">
        <v>468</v>
      </c>
      <c r="C79" s="19" t="s">
        <v>469</v>
      </c>
      <c r="D79" s="90" t="s">
        <v>470</v>
      </c>
      <c r="E79" s="90" t="s">
        <v>471</v>
      </c>
      <c r="F79" s="18" t="s">
        <v>18</v>
      </c>
      <c r="G79" s="39" t="s">
        <v>472</v>
      </c>
      <c r="I79" s="105">
        <v>95.0</v>
      </c>
      <c r="J79" s="40">
        <v>93.0</v>
      </c>
      <c r="K79" s="106" t="s">
        <v>473</v>
      </c>
      <c r="M79" s="89" t="s">
        <v>474</v>
      </c>
    </row>
    <row r="80" outlineLevel="1">
      <c r="B80" s="103" t="s">
        <v>475</v>
      </c>
      <c r="C80" s="19" t="s">
        <v>58</v>
      </c>
      <c r="D80" s="90" t="s">
        <v>476</v>
      </c>
      <c r="E80" s="97" t="s">
        <v>477</v>
      </c>
      <c r="F80" s="18" t="s">
        <v>19</v>
      </c>
      <c r="G80" s="104" t="s">
        <v>478</v>
      </c>
      <c r="H80" s="111" t="s">
        <v>479</v>
      </c>
      <c r="I80" s="105">
        <v>94.0</v>
      </c>
      <c r="J80" s="17">
        <v>93.0</v>
      </c>
      <c r="K80" s="106" t="s">
        <v>480</v>
      </c>
      <c r="M80" s="33" t="s">
        <v>481</v>
      </c>
    </row>
    <row r="81" outlineLevel="1">
      <c r="B81" s="103" t="s">
        <v>482</v>
      </c>
      <c r="C81" s="112" t="s">
        <v>104</v>
      </c>
      <c r="D81" s="90" t="s">
        <v>483</v>
      </c>
      <c r="E81" s="90" t="s">
        <v>484</v>
      </c>
      <c r="F81" s="18" t="s">
        <v>19</v>
      </c>
      <c r="G81" s="39" t="s">
        <v>485</v>
      </c>
      <c r="H81" s="18" t="s">
        <v>7</v>
      </c>
      <c r="I81" s="105">
        <v>89.0</v>
      </c>
      <c r="J81" s="109">
        <v>89.0</v>
      </c>
      <c r="K81" s="113" t="s">
        <v>486</v>
      </c>
      <c r="M81" s="89" t="s">
        <v>487</v>
      </c>
    </row>
    <row r="82" outlineLevel="1">
      <c r="B82" s="103" t="s">
        <v>488</v>
      </c>
      <c r="C82" s="114" t="s">
        <v>489</v>
      </c>
      <c r="D82" s="90" t="s">
        <v>490</v>
      </c>
      <c r="E82" s="90" t="s">
        <v>491</v>
      </c>
      <c r="G82" s="108" t="s">
        <v>492</v>
      </c>
      <c r="I82" s="105" t="s">
        <v>493</v>
      </c>
      <c r="J82" s="39" t="s">
        <v>494</v>
      </c>
      <c r="K82" s="106" t="s">
        <v>495</v>
      </c>
      <c r="M82" s="89" t="s">
        <v>496</v>
      </c>
    </row>
    <row r="83" outlineLevel="1">
      <c r="A83" s="46" t="s">
        <v>497</v>
      </c>
      <c r="B83" s="115" t="s">
        <v>498</v>
      </c>
      <c r="C83" s="116" t="s">
        <v>499</v>
      </c>
      <c r="D83" s="43" t="s">
        <v>500</v>
      </c>
      <c r="E83" s="89" t="s">
        <v>501</v>
      </c>
      <c r="F83" s="89" t="s">
        <v>18</v>
      </c>
      <c r="G83" s="18" t="s">
        <v>18</v>
      </c>
      <c r="I83" s="117">
        <v>96.0</v>
      </c>
      <c r="J83" s="117">
        <v>97.0</v>
      </c>
      <c r="K83" s="118" t="s">
        <v>502</v>
      </c>
      <c r="M83" s="89" t="s">
        <v>503</v>
      </c>
    </row>
    <row r="84" outlineLevel="1">
      <c r="B84" s="115" t="s">
        <v>504</v>
      </c>
      <c r="C84" s="116" t="s">
        <v>347</v>
      </c>
      <c r="D84" s="43" t="s">
        <v>505</v>
      </c>
      <c r="E84" s="89" t="s">
        <v>506</v>
      </c>
      <c r="F84" s="89" t="s">
        <v>19</v>
      </c>
      <c r="G84" s="89" t="s">
        <v>507</v>
      </c>
      <c r="I84" s="117">
        <v>91.0</v>
      </c>
      <c r="J84" s="117">
        <v>95.0</v>
      </c>
      <c r="K84" s="118" t="s">
        <v>508</v>
      </c>
      <c r="M84" s="89" t="s">
        <v>509</v>
      </c>
    </row>
    <row r="85" outlineLevel="1">
      <c r="B85" s="115" t="s">
        <v>510</v>
      </c>
      <c r="C85" s="116" t="s">
        <v>25</v>
      </c>
      <c r="D85" s="43" t="s">
        <v>511</v>
      </c>
      <c r="E85" s="89" t="s">
        <v>512</v>
      </c>
      <c r="F85" s="89" t="s">
        <v>19</v>
      </c>
      <c r="G85" s="89" t="s">
        <v>513</v>
      </c>
      <c r="I85" s="117">
        <v>96.0</v>
      </c>
      <c r="J85" s="117">
        <v>94.0</v>
      </c>
      <c r="K85" s="118" t="s">
        <v>514</v>
      </c>
      <c r="M85" s="89" t="s">
        <v>515</v>
      </c>
    </row>
    <row r="86" outlineLevel="1">
      <c r="B86" s="115" t="s">
        <v>516</v>
      </c>
      <c r="C86" s="116" t="s">
        <v>517</v>
      </c>
      <c r="D86" s="43" t="s">
        <v>518</v>
      </c>
      <c r="E86" s="89" t="s">
        <v>519</v>
      </c>
      <c r="F86" s="89" t="s">
        <v>18</v>
      </c>
      <c r="G86" s="89" t="s">
        <v>18</v>
      </c>
      <c r="I86" s="117">
        <v>98.0</v>
      </c>
      <c r="J86" s="117">
        <v>95.0</v>
      </c>
      <c r="K86" s="118" t="s">
        <v>520</v>
      </c>
      <c r="M86" s="89" t="s">
        <v>521</v>
      </c>
    </row>
    <row r="87">
      <c r="B87" s="115" t="s">
        <v>522</v>
      </c>
      <c r="C87" s="116" t="s">
        <v>15</v>
      </c>
      <c r="D87" s="43" t="s">
        <v>523</v>
      </c>
      <c r="E87" s="89" t="s">
        <v>524</v>
      </c>
      <c r="F87" s="89" t="s">
        <v>19</v>
      </c>
      <c r="G87" s="89" t="s">
        <v>19</v>
      </c>
      <c r="I87" s="117">
        <v>91.0</v>
      </c>
      <c r="J87" s="117">
        <v>94.0</v>
      </c>
      <c r="K87" s="118" t="s">
        <v>525</v>
      </c>
      <c r="M87" s="89" t="s">
        <v>526</v>
      </c>
    </row>
    <row r="88">
      <c r="B88" s="115" t="s">
        <v>527</v>
      </c>
      <c r="C88" s="116" t="s">
        <v>149</v>
      </c>
      <c r="D88" s="43" t="s">
        <v>528</v>
      </c>
      <c r="E88" s="89" t="s">
        <v>529</v>
      </c>
      <c r="F88" s="89"/>
      <c r="G88" s="89" t="s">
        <v>530</v>
      </c>
      <c r="H88" s="18" t="s">
        <v>7</v>
      </c>
      <c r="I88" s="117">
        <v>94.0</v>
      </c>
      <c r="J88" s="117">
        <v>91.0</v>
      </c>
      <c r="K88" s="119" t="s">
        <v>531</v>
      </c>
      <c r="M88" s="89" t="s">
        <v>532</v>
      </c>
    </row>
    <row r="89">
      <c r="B89" s="115" t="s">
        <v>533</v>
      </c>
      <c r="C89" s="116" t="s">
        <v>155</v>
      </c>
      <c r="D89" s="43" t="s">
        <v>534</v>
      </c>
      <c r="E89" s="89" t="s">
        <v>535</v>
      </c>
      <c r="F89" s="89" t="s">
        <v>19</v>
      </c>
      <c r="G89" s="89" t="s">
        <v>19</v>
      </c>
      <c r="H89" s="18" t="s">
        <v>7</v>
      </c>
      <c r="I89" s="120">
        <v>93.0</v>
      </c>
      <c r="J89" s="120">
        <v>100.0</v>
      </c>
      <c r="K89" s="118" t="s">
        <v>536</v>
      </c>
      <c r="M89" s="89" t="s">
        <v>537</v>
      </c>
    </row>
    <row r="90">
      <c r="B90" s="121" t="s">
        <v>538</v>
      </c>
      <c r="C90" s="116" t="s">
        <v>539</v>
      </c>
      <c r="D90" s="43" t="s">
        <v>540</v>
      </c>
      <c r="E90" s="89" t="s">
        <v>541</v>
      </c>
      <c r="F90" s="89" t="s">
        <v>18</v>
      </c>
      <c r="G90" s="122" t="s">
        <v>542</v>
      </c>
      <c r="I90" s="117">
        <v>97.0</v>
      </c>
      <c r="J90" s="117">
        <v>96.0</v>
      </c>
      <c r="K90" s="123" t="s">
        <v>543</v>
      </c>
      <c r="M90" s="89" t="s">
        <v>544</v>
      </c>
    </row>
    <row r="91">
      <c r="B91" s="115" t="s">
        <v>545</v>
      </c>
      <c r="C91" s="116" t="s">
        <v>31</v>
      </c>
      <c r="D91" s="43" t="s">
        <v>546</v>
      </c>
      <c r="E91" s="89" t="s">
        <v>547</v>
      </c>
      <c r="F91" s="89" t="s">
        <v>19</v>
      </c>
      <c r="G91" s="89" t="s">
        <v>19</v>
      </c>
      <c r="I91" s="117">
        <v>93.0</v>
      </c>
      <c r="J91" s="117">
        <v>92.0</v>
      </c>
      <c r="K91" s="119" t="s">
        <v>548</v>
      </c>
      <c r="M91" s="89" t="s">
        <v>549</v>
      </c>
    </row>
    <row r="92">
      <c r="B92" s="115" t="s">
        <v>550</v>
      </c>
      <c r="C92" s="116" t="s">
        <v>77</v>
      </c>
      <c r="D92" s="43" t="s">
        <v>551</v>
      </c>
      <c r="E92" s="89" t="s">
        <v>552</v>
      </c>
      <c r="F92" s="89" t="s">
        <v>19</v>
      </c>
      <c r="G92" s="89" t="s">
        <v>19</v>
      </c>
      <c r="H92" s="18" t="s">
        <v>7</v>
      </c>
      <c r="I92" s="117">
        <v>93.0</v>
      </c>
      <c r="J92" s="117">
        <v>94.0</v>
      </c>
      <c r="K92" s="118" t="s">
        <v>553</v>
      </c>
      <c r="M92" s="89" t="s">
        <v>554</v>
      </c>
    </row>
    <row r="93">
      <c r="B93" s="115" t="s">
        <v>555</v>
      </c>
      <c r="C93" s="116" t="s">
        <v>366</v>
      </c>
      <c r="D93" s="43" t="s">
        <v>556</v>
      </c>
      <c r="E93" s="89" t="s">
        <v>557</v>
      </c>
      <c r="F93" s="89" t="s">
        <v>19</v>
      </c>
      <c r="G93" s="89" t="s">
        <v>19</v>
      </c>
      <c r="I93" s="117">
        <v>87.0</v>
      </c>
      <c r="J93" s="117">
        <v>96.0</v>
      </c>
      <c r="K93" s="118" t="s">
        <v>558</v>
      </c>
      <c r="M93" s="89" t="s">
        <v>559</v>
      </c>
    </row>
    <row r="94">
      <c r="B94" s="115" t="s">
        <v>560</v>
      </c>
      <c r="C94" s="116" t="s">
        <v>166</v>
      </c>
      <c r="D94" s="43" t="s">
        <v>561</v>
      </c>
      <c r="E94" s="89" t="s">
        <v>562</v>
      </c>
      <c r="F94" s="89" t="s">
        <v>19</v>
      </c>
      <c r="G94" s="89" t="s">
        <v>563</v>
      </c>
      <c r="H94" s="18" t="s">
        <v>7</v>
      </c>
      <c r="I94" s="117">
        <v>93.0</v>
      </c>
      <c r="J94" s="117">
        <v>95.0</v>
      </c>
      <c r="K94" s="118" t="s">
        <v>564</v>
      </c>
      <c r="M94" s="89" t="s">
        <v>565</v>
      </c>
    </row>
    <row r="95">
      <c r="B95" s="115" t="s">
        <v>566</v>
      </c>
      <c r="C95" s="116" t="s">
        <v>129</v>
      </c>
      <c r="D95" s="43" t="s">
        <v>567</v>
      </c>
      <c r="E95" s="89" t="s">
        <v>568</v>
      </c>
      <c r="F95" s="89" t="s">
        <v>19</v>
      </c>
      <c r="G95" s="89" t="s">
        <v>19</v>
      </c>
      <c r="I95" s="117">
        <v>89.0</v>
      </c>
      <c r="J95" s="117">
        <v>96.0</v>
      </c>
      <c r="K95" s="118" t="s">
        <v>569</v>
      </c>
      <c r="M95" s="89" t="s">
        <v>570</v>
      </c>
    </row>
    <row r="96">
      <c r="B96" s="115" t="s">
        <v>571</v>
      </c>
      <c r="C96" s="116" t="s">
        <v>123</v>
      </c>
      <c r="D96" s="43" t="s">
        <v>572</v>
      </c>
      <c r="E96" s="89" t="s">
        <v>573</v>
      </c>
      <c r="F96" s="89" t="s">
        <v>19</v>
      </c>
      <c r="G96" s="89" t="s">
        <v>19</v>
      </c>
      <c r="I96" s="117">
        <v>93.0</v>
      </c>
      <c r="J96" s="117">
        <v>92.0</v>
      </c>
      <c r="K96" s="118" t="s">
        <v>574</v>
      </c>
      <c r="M96" s="89" t="s">
        <v>575</v>
      </c>
    </row>
    <row r="97">
      <c r="B97" s="115" t="s">
        <v>576</v>
      </c>
      <c r="C97" s="116" t="s">
        <v>173</v>
      </c>
      <c r="D97" s="43" t="s">
        <v>577</v>
      </c>
      <c r="E97" s="111" t="s">
        <v>578</v>
      </c>
      <c r="F97" s="89"/>
      <c r="G97" s="89" t="s">
        <v>19</v>
      </c>
      <c r="H97" s="18" t="s">
        <v>7</v>
      </c>
      <c r="I97" s="117">
        <v>90.0</v>
      </c>
      <c r="J97" s="117">
        <v>97.0</v>
      </c>
      <c r="K97" s="42" t="s">
        <v>579</v>
      </c>
      <c r="M97" s="89" t="s">
        <v>580</v>
      </c>
    </row>
    <row r="98">
      <c r="B98" s="115" t="s">
        <v>581</v>
      </c>
      <c r="C98" s="116" t="s">
        <v>37</v>
      </c>
      <c r="D98" s="43" t="s">
        <v>582</v>
      </c>
      <c r="E98" s="89" t="s">
        <v>583</v>
      </c>
      <c r="F98" s="89" t="s">
        <v>584</v>
      </c>
      <c r="G98" s="89" t="s">
        <v>585</v>
      </c>
      <c r="I98" s="117">
        <v>93.0</v>
      </c>
      <c r="J98" s="117">
        <v>93.0</v>
      </c>
      <c r="K98" s="118" t="s">
        <v>586</v>
      </c>
      <c r="M98" s="89" t="s">
        <v>587</v>
      </c>
    </row>
    <row r="99">
      <c r="B99" s="115" t="s">
        <v>588</v>
      </c>
      <c r="C99" s="116" t="s">
        <v>44</v>
      </c>
      <c r="D99" s="43" t="s">
        <v>589</v>
      </c>
      <c r="E99" s="89" t="s">
        <v>590</v>
      </c>
      <c r="F99" s="89" t="s">
        <v>19</v>
      </c>
      <c r="G99" s="122" t="s">
        <v>591</v>
      </c>
      <c r="I99" s="117">
        <v>97.0</v>
      </c>
      <c r="J99" s="117">
        <v>94.0</v>
      </c>
      <c r="K99" s="118" t="s">
        <v>592</v>
      </c>
      <c r="M99" s="89" t="s">
        <v>593</v>
      </c>
    </row>
    <row r="100">
      <c r="B100" s="115" t="s">
        <v>594</v>
      </c>
      <c r="C100" s="116" t="s">
        <v>595</v>
      </c>
      <c r="D100" s="43" t="s">
        <v>596</v>
      </c>
      <c r="E100" s="89" t="s">
        <v>597</v>
      </c>
      <c r="F100" s="89" t="s">
        <v>19</v>
      </c>
      <c r="G100" s="89" t="s">
        <v>19</v>
      </c>
      <c r="I100" s="117">
        <v>92.0</v>
      </c>
      <c r="J100" s="117">
        <v>90.0</v>
      </c>
      <c r="K100" s="118" t="s">
        <v>598</v>
      </c>
      <c r="M100" s="89" t="s">
        <v>599</v>
      </c>
    </row>
    <row r="101">
      <c r="B101" s="115" t="s">
        <v>600</v>
      </c>
      <c r="C101" s="116" t="s">
        <v>136</v>
      </c>
      <c r="D101" s="43" t="s">
        <v>601</v>
      </c>
      <c r="E101" s="89" t="s">
        <v>602</v>
      </c>
      <c r="F101" s="89" t="s">
        <v>19</v>
      </c>
      <c r="G101" s="89" t="s">
        <v>603</v>
      </c>
      <c r="I101" s="117">
        <v>92.0</v>
      </c>
      <c r="J101" s="117">
        <v>96.0</v>
      </c>
      <c r="K101" s="118" t="s">
        <v>604</v>
      </c>
      <c r="M101" s="89" t="s">
        <v>605</v>
      </c>
    </row>
    <row r="102">
      <c r="B102" s="115" t="s">
        <v>606</v>
      </c>
      <c r="C102" s="116" t="s">
        <v>607</v>
      </c>
      <c r="D102" s="43" t="s">
        <v>608</v>
      </c>
      <c r="E102" s="89" t="s">
        <v>609</v>
      </c>
      <c r="F102" s="89" t="s">
        <v>19</v>
      </c>
      <c r="G102" s="89" t="s">
        <v>610</v>
      </c>
      <c r="I102" s="18">
        <v>93.0</v>
      </c>
      <c r="J102" s="18">
        <v>89.0</v>
      </c>
      <c r="K102" s="89" t="s">
        <v>611</v>
      </c>
      <c r="M102" s="89" t="s">
        <v>612</v>
      </c>
    </row>
    <row r="103">
      <c r="B103" s="115" t="s">
        <v>613</v>
      </c>
      <c r="C103" s="116" t="s">
        <v>614</v>
      </c>
      <c r="D103" s="43" t="s">
        <v>615</v>
      </c>
      <c r="E103" s="124" t="s">
        <v>616</v>
      </c>
      <c r="F103" s="18" t="s">
        <v>617</v>
      </c>
      <c r="G103" s="89" t="s">
        <v>618</v>
      </c>
      <c r="I103" s="18">
        <v>96.0</v>
      </c>
      <c r="J103" s="18">
        <v>92.0</v>
      </c>
      <c r="K103" s="118" t="s">
        <v>619</v>
      </c>
      <c r="M103" s="89" t="s">
        <v>620</v>
      </c>
    </row>
    <row r="104">
      <c r="B104" s="125" t="s">
        <v>621</v>
      </c>
      <c r="C104" s="126"/>
      <c r="D104" s="127" t="s">
        <v>23</v>
      </c>
      <c r="E104" s="128"/>
      <c r="F104" s="29"/>
      <c r="G104" s="129"/>
      <c r="H104" s="29"/>
      <c r="I104" s="29"/>
      <c r="J104" s="29"/>
      <c r="K104" s="130"/>
      <c r="L104" s="31"/>
      <c r="M104" s="101"/>
    </row>
    <row r="105">
      <c r="B105" s="115" t="s">
        <v>622</v>
      </c>
      <c r="C105" s="116" t="s">
        <v>623</v>
      </c>
      <c r="D105" s="43" t="s">
        <v>624</v>
      </c>
      <c r="E105" s="89" t="s">
        <v>625</v>
      </c>
      <c r="F105" s="18" t="s">
        <v>19</v>
      </c>
      <c r="G105" s="131" t="s">
        <v>626</v>
      </c>
      <c r="H105" s="18" t="s">
        <v>627</v>
      </c>
      <c r="I105" s="18">
        <v>93.0</v>
      </c>
      <c r="J105" s="18">
        <v>98.0</v>
      </c>
      <c r="K105" s="132" t="s">
        <v>628</v>
      </c>
      <c r="M105" s="89" t="s">
        <v>629</v>
      </c>
    </row>
    <row r="106">
      <c r="B106" s="115" t="s">
        <v>630</v>
      </c>
      <c r="C106" s="116" t="s">
        <v>631</v>
      </c>
      <c r="D106" s="43" t="s">
        <v>632</v>
      </c>
      <c r="E106" s="89" t="s">
        <v>633</v>
      </c>
      <c r="F106" s="89" t="s">
        <v>19</v>
      </c>
      <c r="G106" s="89" t="s">
        <v>19</v>
      </c>
      <c r="I106" s="117">
        <v>92.0</v>
      </c>
      <c r="J106" s="117">
        <v>95.0</v>
      </c>
      <c r="K106" s="118" t="s">
        <v>634</v>
      </c>
      <c r="M106" s="89" t="s">
        <v>635</v>
      </c>
    </row>
    <row r="107">
      <c r="B107" s="115" t="s">
        <v>636</v>
      </c>
      <c r="C107" s="116" t="s">
        <v>185</v>
      </c>
      <c r="D107" s="43" t="s">
        <v>637</v>
      </c>
      <c r="E107" s="89" t="s">
        <v>638</v>
      </c>
      <c r="F107" s="89"/>
      <c r="G107" s="89" t="s">
        <v>19</v>
      </c>
      <c r="H107" s="18" t="s">
        <v>7</v>
      </c>
      <c r="I107" s="117">
        <v>93.0</v>
      </c>
      <c r="J107" s="117">
        <v>92.0</v>
      </c>
      <c r="K107" s="118" t="s">
        <v>639</v>
      </c>
      <c r="M107" s="89" t="s">
        <v>640</v>
      </c>
    </row>
    <row r="108">
      <c r="B108" s="121" t="s">
        <v>641</v>
      </c>
      <c r="C108" s="116" t="s">
        <v>642</v>
      </c>
      <c r="D108" s="133" t="s">
        <v>643</v>
      </c>
      <c r="E108" s="134" t="s">
        <v>644</v>
      </c>
      <c r="F108" s="18" t="s">
        <v>18</v>
      </c>
      <c r="G108" s="89" t="s">
        <v>18</v>
      </c>
      <c r="I108" s="120">
        <v>99.0</v>
      </c>
      <c r="J108" s="117">
        <v>99.0</v>
      </c>
      <c r="K108" s="89" t="s">
        <v>645</v>
      </c>
      <c r="M108" s="89" t="s">
        <v>646</v>
      </c>
    </row>
    <row r="109">
      <c r="A109" s="135" t="s">
        <v>647</v>
      </c>
      <c r="B109" s="136" t="s">
        <v>648</v>
      </c>
      <c r="C109" s="136" t="s">
        <v>649</v>
      </c>
      <c r="D109" s="137" t="s">
        <v>650</v>
      </c>
      <c r="E109" s="90" t="s">
        <v>651</v>
      </c>
      <c r="F109" s="138" t="s">
        <v>652</v>
      </c>
      <c r="G109" s="89" t="s">
        <v>18</v>
      </c>
      <c r="I109" s="139">
        <v>97.0</v>
      </c>
      <c r="J109" s="140">
        <v>93.0</v>
      </c>
      <c r="K109" s="141" t="s">
        <v>653</v>
      </c>
      <c r="L109" s="142" t="s">
        <v>654</v>
      </c>
      <c r="M109" s="89" t="s">
        <v>655</v>
      </c>
    </row>
    <row r="110">
      <c r="B110" s="136" t="s">
        <v>656</v>
      </c>
      <c r="C110" s="136" t="s">
        <v>657</v>
      </c>
      <c r="D110" s="137" t="s">
        <v>658</v>
      </c>
      <c r="E110" s="90" t="s">
        <v>659</v>
      </c>
      <c r="F110" s="138" t="s">
        <v>19</v>
      </c>
      <c r="G110" s="122" t="s">
        <v>660</v>
      </c>
      <c r="I110" s="139">
        <v>96.0</v>
      </c>
      <c r="J110" s="140">
        <v>96.0</v>
      </c>
      <c r="K110" s="141" t="s">
        <v>661</v>
      </c>
      <c r="L110" s="142" t="s">
        <v>662</v>
      </c>
      <c r="M110" s="89" t="s">
        <v>663</v>
      </c>
    </row>
    <row r="111">
      <c r="B111" s="143" t="s">
        <v>664</v>
      </c>
      <c r="C111" s="143" t="s">
        <v>665</v>
      </c>
      <c r="D111" s="137" t="s">
        <v>666</v>
      </c>
      <c r="E111" s="90" t="s">
        <v>667</v>
      </c>
      <c r="F111" s="144"/>
      <c r="G111" s="89" t="s">
        <v>668</v>
      </c>
      <c r="I111" s="139">
        <v>99.0</v>
      </c>
      <c r="J111" s="140">
        <v>90.0</v>
      </c>
      <c r="K111" s="141" t="s">
        <v>669</v>
      </c>
      <c r="L111" s="142" t="s">
        <v>670</v>
      </c>
      <c r="M111" s="89" t="s">
        <v>671</v>
      </c>
    </row>
    <row r="112">
      <c r="B112" s="143" t="s">
        <v>672</v>
      </c>
      <c r="C112" s="143" t="s">
        <v>673</v>
      </c>
      <c r="D112" s="137" t="s">
        <v>674</v>
      </c>
      <c r="E112" s="90" t="s">
        <v>675</v>
      </c>
      <c r="F112" s="138" t="s">
        <v>19</v>
      </c>
      <c r="G112" s="145" t="s">
        <v>19</v>
      </c>
      <c r="I112" s="139">
        <v>89.0</v>
      </c>
      <c r="J112" s="140">
        <v>96.0</v>
      </c>
      <c r="K112" s="141" t="s">
        <v>676</v>
      </c>
      <c r="L112" s="142" t="s">
        <v>677</v>
      </c>
      <c r="M112" s="89" t="s">
        <v>678</v>
      </c>
    </row>
    <row r="113">
      <c r="B113" s="143" t="s">
        <v>679</v>
      </c>
      <c r="C113" s="143" t="s">
        <v>680</v>
      </c>
      <c r="D113" s="137" t="s">
        <v>681</v>
      </c>
      <c r="E113" s="90" t="s">
        <v>682</v>
      </c>
      <c r="F113" s="138" t="s">
        <v>18</v>
      </c>
      <c r="G113" s="146" t="s">
        <v>683</v>
      </c>
      <c r="I113" s="147">
        <v>96.0</v>
      </c>
      <c r="J113" s="148">
        <v>97.0</v>
      </c>
      <c r="K113" s="141" t="s">
        <v>684</v>
      </c>
      <c r="L113" s="142" t="s">
        <v>685</v>
      </c>
      <c r="M113" s="149" t="s">
        <v>686</v>
      </c>
    </row>
    <row r="114">
      <c r="B114" s="143" t="s">
        <v>687</v>
      </c>
      <c r="C114" s="143" t="s">
        <v>688</v>
      </c>
      <c r="D114" s="137" t="s">
        <v>689</v>
      </c>
      <c r="E114" s="90" t="s">
        <v>690</v>
      </c>
      <c r="F114" s="138" t="s">
        <v>652</v>
      </c>
      <c r="G114" s="145" t="s">
        <v>691</v>
      </c>
      <c r="I114" s="147">
        <v>96.0</v>
      </c>
      <c r="J114" s="146">
        <v>93.0</v>
      </c>
      <c r="K114" s="141" t="s">
        <v>692</v>
      </c>
      <c r="L114" s="142" t="s">
        <v>693</v>
      </c>
      <c r="M114" s="89" t="s">
        <v>694</v>
      </c>
    </row>
    <row r="115">
      <c r="B115" s="143" t="s">
        <v>695</v>
      </c>
      <c r="C115" s="143" t="s">
        <v>696</v>
      </c>
      <c r="D115" s="137" t="s">
        <v>697</v>
      </c>
      <c r="E115" s="90" t="s">
        <v>698</v>
      </c>
      <c r="F115" s="138" t="s">
        <v>652</v>
      </c>
      <c r="G115" s="146" t="s">
        <v>699</v>
      </c>
      <c r="I115" s="150">
        <v>95.0</v>
      </c>
      <c r="J115" s="148">
        <v>85.0</v>
      </c>
      <c r="K115" s="151" t="s">
        <v>700</v>
      </c>
      <c r="L115" s="142" t="s">
        <v>701</v>
      </c>
      <c r="M115" s="149" t="s">
        <v>702</v>
      </c>
    </row>
    <row r="116">
      <c r="B116" s="143" t="s">
        <v>703</v>
      </c>
      <c r="C116" s="143" t="s">
        <v>284</v>
      </c>
      <c r="D116" s="137" t="s">
        <v>704</v>
      </c>
      <c r="E116" s="90" t="s">
        <v>705</v>
      </c>
      <c r="F116" s="138" t="s">
        <v>706</v>
      </c>
      <c r="G116" s="118" t="s">
        <v>707</v>
      </c>
      <c r="H116" s="18" t="s">
        <v>7</v>
      </c>
      <c r="I116" s="139">
        <v>91.0</v>
      </c>
      <c r="J116" s="140">
        <v>90.0</v>
      </c>
      <c r="K116" s="141" t="s">
        <v>708</v>
      </c>
      <c r="L116" s="142" t="s">
        <v>709</v>
      </c>
      <c r="M116" s="89" t="s">
        <v>710</v>
      </c>
    </row>
    <row r="117">
      <c r="B117" s="143" t="s">
        <v>711</v>
      </c>
      <c r="C117" s="143" t="s">
        <v>712</v>
      </c>
      <c r="D117" s="137" t="s">
        <v>713</v>
      </c>
      <c r="E117" s="90" t="s">
        <v>714</v>
      </c>
      <c r="F117" s="138" t="s">
        <v>18</v>
      </c>
      <c r="G117" s="118" t="s">
        <v>715</v>
      </c>
      <c r="I117" s="139">
        <v>99.0</v>
      </c>
      <c r="J117" s="140">
        <v>97.0</v>
      </c>
      <c r="K117" s="141" t="s">
        <v>716</v>
      </c>
      <c r="L117" s="142" t="s">
        <v>717</v>
      </c>
      <c r="M117" s="89" t="s">
        <v>718</v>
      </c>
    </row>
    <row r="118">
      <c r="B118" s="143" t="s">
        <v>719</v>
      </c>
      <c r="C118" s="143" t="s">
        <v>720</v>
      </c>
      <c r="D118" s="137" t="s">
        <v>721</v>
      </c>
      <c r="E118" s="90" t="s">
        <v>722</v>
      </c>
      <c r="F118" s="138" t="s">
        <v>652</v>
      </c>
      <c r="G118" s="89" t="s">
        <v>723</v>
      </c>
      <c r="I118" s="152">
        <v>96.0</v>
      </c>
      <c r="J118" s="140">
        <v>97.0</v>
      </c>
      <c r="K118" s="141" t="s">
        <v>724</v>
      </c>
      <c r="L118" s="142" t="s">
        <v>725</v>
      </c>
      <c r="M118" s="89" t="s">
        <v>726</v>
      </c>
    </row>
    <row r="119">
      <c r="B119" s="143" t="s">
        <v>727</v>
      </c>
      <c r="C119" s="143" t="s">
        <v>728</v>
      </c>
      <c r="D119" s="137" t="s">
        <v>729</v>
      </c>
      <c r="E119" s="97" t="s">
        <v>730</v>
      </c>
      <c r="F119" s="138" t="s">
        <v>652</v>
      </c>
      <c r="G119" s="89" t="s">
        <v>731</v>
      </c>
      <c r="I119" s="139">
        <v>95.0</v>
      </c>
      <c r="J119" s="140">
        <v>96.0</v>
      </c>
      <c r="K119" s="141" t="s">
        <v>732</v>
      </c>
      <c r="L119" s="142" t="s">
        <v>733</v>
      </c>
      <c r="M119" s="89" t="s">
        <v>734</v>
      </c>
    </row>
    <row r="120">
      <c r="B120" s="143" t="s">
        <v>735</v>
      </c>
      <c r="C120" s="143" t="s">
        <v>84</v>
      </c>
      <c r="D120" s="137" t="s">
        <v>736</v>
      </c>
      <c r="E120" s="97" t="s">
        <v>737</v>
      </c>
      <c r="F120" s="138" t="s">
        <v>706</v>
      </c>
      <c r="G120" s="89" t="s">
        <v>19</v>
      </c>
      <c r="H120" s="18" t="s">
        <v>398</v>
      </c>
      <c r="I120" s="139">
        <v>82.0</v>
      </c>
      <c r="J120" s="140">
        <v>83.0</v>
      </c>
      <c r="K120" s="106" t="s">
        <v>738</v>
      </c>
      <c r="L120" s="142" t="s">
        <v>739</v>
      </c>
      <c r="M120" s="89" t="s">
        <v>740</v>
      </c>
    </row>
    <row r="121">
      <c r="B121" s="143" t="s">
        <v>741</v>
      </c>
      <c r="C121" s="143" t="s">
        <v>742</v>
      </c>
      <c r="D121" s="137" t="s">
        <v>743</v>
      </c>
      <c r="E121" s="97" t="s">
        <v>744</v>
      </c>
      <c r="F121" s="138" t="s">
        <v>745</v>
      </c>
      <c r="G121" s="122" t="s">
        <v>18</v>
      </c>
      <c r="I121" s="139" t="s">
        <v>746</v>
      </c>
      <c r="J121" s="140">
        <v>92.0</v>
      </c>
      <c r="K121" s="153" t="s">
        <v>747</v>
      </c>
      <c r="L121" s="142" t="s">
        <v>748</v>
      </c>
      <c r="M121" s="89" t="s">
        <v>749</v>
      </c>
    </row>
    <row r="122">
      <c r="B122" s="143" t="s">
        <v>750</v>
      </c>
      <c r="C122" s="143" t="s">
        <v>751</v>
      </c>
      <c r="D122" s="137" t="s">
        <v>752</v>
      </c>
      <c r="E122" s="90" t="s">
        <v>753</v>
      </c>
      <c r="F122" s="138" t="s">
        <v>18</v>
      </c>
      <c r="G122" s="154" t="s">
        <v>754</v>
      </c>
      <c r="I122" s="139">
        <v>94.0</v>
      </c>
      <c r="J122" s="140">
        <v>98.0</v>
      </c>
      <c r="K122" s="141" t="s">
        <v>755</v>
      </c>
      <c r="L122" s="142" t="s">
        <v>756</v>
      </c>
      <c r="M122" s="89" t="s">
        <v>757</v>
      </c>
    </row>
    <row r="123">
      <c r="B123" s="143" t="s">
        <v>758</v>
      </c>
      <c r="C123" s="143" t="s">
        <v>295</v>
      </c>
      <c r="D123" s="137" t="s">
        <v>759</v>
      </c>
      <c r="E123" s="90" t="s">
        <v>760</v>
      </c>
      <c r="F123" s="138" t="s">
        <v>19</v>
      </c>
      <c r="G123" s="89" t="s">
        <v>761</v>
      </c>
      <c r="H123" s="18" t="s">
        <v>7</v>
      </c>
      <c r="I123" s="139">
        <v>85.0</v>
      </c>
      <c r="J123" s="140">
        <v>90.0</v>
      </c>
      <c r="K123" s="153" t="s">
        <v>762</v>
      </c>
      <c r="L123" s="142" t="s">
        <v>763</v>
      </c>
      <c r="M123" s="89" t="s">
        <v>764</v>
      </c>
    </row>
    <row r="124">
      <c r="B124" s="143" t="s">
        <v>765</v>
      </c>
      <c r="C124" s="143" t="s">
        <v>302</v>
      </c>
      <c r="D124" s="137" t="s">
        <v>766</v>
      </c>
      <c r="E124" s="90" t="s">
        <v>767</v>
      </c>
      <c r="F124" s="138" t="s">
        <v>19</v>
      </c>
      <c r="G124" s="118" t="s">
        <v>19</v>
      </c>
      <c r="H124" s="18" t="s">
        <v>7</v>
      </c>
      <c r="I124" s="139">
        <v>91.0</v>
      </c>
      <c r="J124" s="140">
        <v>93.0</v>
      </c>
      <c r="K124" s="141" t="s">
        <v>768</v>
      </c>
      <c r="L124" s="142" t="s">
        <v>769</v>
      </c>
      <c r="M124" s="89" t="s">
        <v>770</v>
      </c>
    </row>
    <row r="125">
      <c r="B125" s="143" t="s">
        <v>771</v>
      </c>
      <c r="C125" s="143" t="s">
        <v>772</v>
      </c>
      <c r="D125" s="137" t="s">
        <v>773</v>
      </c>
      <c r="E125" s="90" t="s">
        <v>774</v>
      </c>
      <c r="F125" s="118" t="s">
        <v>775</v>
      </c>
      <c r="G125" s="122" t="s">
        <v>776</v>
      </c>
      <c r="H125" s="18" t="s">
        <v>7</v>
      </c>
      <c r="I125" s="139">
        <v>98.0</v>
      </c>
      <c r="J125" s="140">
        <v>97.0</v>
      </c>
      <c r="K125" s="141" t="s">
        <v>777</v>
      </c>
      <c r="L125" s="142" t="s">
        <v>778</v>
      </c>
      <c r="M125" s="89" t="s">
        <v>779</v>
      </c>
    </row>
    <row r="126">
      <c r="B126" s="143" t="s">
        <v>780</v>
      </c>
      <c r="C126" s="143" t="s">
        <v>317</v>
      </c>
      <c r="D126" s="137" t="s">
        <v>781</v>
      </c>
      <c r="E126" s="90" t="s">
        <v>782</v>
      </c>
      <c r="F126" s="138" t="s">
        <v>19</v>
      </c>
      <c r="G126" s="89">
        <f>COUNTA("Yes", G18:G125)</f>
        <v>102</v>
      </c>
      <c r="H126" s="18" t="s">
        <v>7</v>
      </c>
      <c r="I126" s="155">
        <v>92.0</v>
      </c>
      <c r="J126" s="89">
        <v>92.0</v>
      </c>
      <c r="K126" s="156" t="s">
        <v>783</v>
      </c>
      <c r="L126" s="142" t="s">
        <v>784</v>
      </c>
      <c r="M126" s="89" t="s">
        <v>785</v>
      </c>
      <c r="N126" s="157"/>
      <c r="O126" s="157"/>
      <c r="P126" s="157"/>
      <c r="Q126" s="157"/>
      <c r="R126" s="157"/>
      <c r="S126" s="157"/>
      <c r="T126" s="157"/>
      <c r="U126" s="157"/>
      <c r="V126" s="157"/>
      <c r="W126" s="157"/>
      <c r="X126" s="157"/>
      <c r="Y126" s="157"/>
      <c r="Z126" s="157"/>
      <c r="AA126" s="157"/>
    </row>
    <row r="127">
      <c r="B127" s="143" t="s">
        <v>786</v>
      </c>
      <c r="C127" s="143" t="s">
        <v>323</v>
      </c>
      <c r="D127" s="137" t="s">
        <v>787</v>
      </c>
      <c r="E127" s="90" t="s">
        <v>788</v>
      </c>
      <c r="F127" s="138" t="s">
        <v>19</v>
      </c>
      <c r="G127" s="89" t="s">
        <v>789</v>
      </c>
      <c r="H127" s="18" t="s">
        <v>7</v>
      </c>
      <c r="I127" s="155">
        <v>90.0</v>
      </c>
      <c r="J127" s="89">
        <v>85.0</v>
      </c>
      <c r="K127" s="158" t="s">
        <v>790</v>
      </c>
      <c r="L127" s="142" t="s">
        <v>791</v>
      </c>
      <c r="M127" s="89" t="s">
        <v>792</v>
      </c>
      <c r="N127" s="157"/>
      <c r="O127" s="157"/>
      <c r="P127" s="157"/>
      <c r="Q127" s="157"/>
      <c r="R127" s="157"/>
      <c r="S127" s="157"/>
      <c r="T127" s="157"/>
      <c r="U127" s="157"/>
      <c r="V127" s="157"/>
      <c r="W127" s="157"/>
      <c r="X127" s="157"/>
      <c r="Y127" s="157"/>
      <c r="Z127" s="157"/>
      <c r="AA127" s="157"/>
    </row>
    <row r="128">
      <c r="B128" s="143" t="s">
        <v>793</v>
      </c>
      <c r="C128" s="143" t="s">
        <v>110</v>
      </c>
      <c r="D128" s="137" t="s">
        <v>794</v>
      </c>
      <c r="E128" s="90" t="s">
        <v>795</v>
      </c>
      <c r="F128" s="138" t="s">
        <v>19</v>
      </c>
      <c r="G128" s="89" t="s">
        <v>789</v>
      </c>
      <c r="H128" s="18" t="s">
        <v>7</v>
      </c>
      <c r="I128" s="155">
        <v>90.0</v>
      </c>
      <c r="J128" s="89">
        <v>94.0</v>
      </c>
      <c r="K128" s="156" t="s">
        <v>796</v>
      </c>
      <c r="L128" s="142" t="s">
        <v>797</v>
      </c>
      <c r="M128" s="89" t="s">
        <v>798</v>
      </c>
      <c r="N128" s="157"/>
      <c r="O128" s="157"/>
      <c r="P128" s="157"/>
      <c r="Q128" s="157"/>
      <c r="R128" s="157"/>
      <c r="S128" s="157"/>
      <c r="T128" s="157"/>
      <c r="U128" s="157"/>
      <c r="V128" s="157"/>
      <c r="W128" s="157"/>
      <c r="X128" s="157"/>
      <c r="Y128" s="157"/>
      <c r="Z128" s="157"/>
      <c r="AA128" s="157"/>
    </row>
    <row r="129">
      <c r="B129" s="159" t="s">
        <v>799</v>
      </c>
      <c r="C129" s="160"/>
      <c r="D129" s="161" t="s">
        <v>23</v>
      </c>
      <c r="E129" s="99"/>
      <c r="F129" s="162"/>
      <c r="G129" s="128"/>
      <c r="H129" s="29"/>
      <c r="I129" s="69"/>
      <c r="J129" s="128"/>
      <c r="K129" s="163"/>
      <c r="L129" s="164"/>
      <c r="M129" s="165"/>
      <c r="N129" s="157"/>
      <c r="O129" s="157"/>
      <c r="P129" s="157"/>
      <c r="Q129" s="157"/>
      <c r="R129" s="157"/>
      <c r="S129" s="157"/>
      <c r="T129" s="157"/>
      <c r="U129" s="157"/>
      <c r="V129" s="157"/>
      <c r="W129" s="157"/>
      <c r="X129" s="157"/>
      <c r="Y129" s="157"/>
      <c r="Z129" s="157"/>
      <c r="AA129" s="157"/>
    </row>
    <row r="130">
      <c r="B130" s="143" t="s">
        <v>800</v>
      </c>
      <c r="C130" s="143" t="s">
        <v>331</v>
      </c>
      <c r="D130" s="137" t="s">
        <v>801</v>
      </c>
      <c r="E130" s="90" t="s">
        <v>802</v>
      </c>
      <c r="F130" s="138" t="s">
        <v>19</v>
      </c>
      <c r="G130" s="89" t="s">
        <v>803</v>
      </c>
      <c r="H130" s="18" t="s">
        <v>7</v>
      </c>
      <c r="I130" s="155">
        <v>95.0</v>
      </c>
      <c r="J130" s="89">
        <v>92.0</v>
      </c>
      <c r="K130" s="156" t="s">
        <v>804</v>
      </c>
      <c r="L130" s="142" t="s">
        <v>805</v>
      </c>
      <c r="M130" s="89" t="s">
        <v>806</v>
      </c>
      <c r="N130" s="157"/>
      <c r="O130" s="157"/>
      <c r="P130" s="157"/>
      <c r="Q130" s="157"/>
      <c r="R130" s="157"/>
      <c r="S130" s="157"/>
      <c r="T130" s="157"/>
      <c r="U130" s="157"/>
      <c r="V130" s="157"/>
      <c r="W130" s="157"/>
      <c r="X130" s="157"/>
      <c r="Y130" s="157"/>
      <c r="Z130" s="157"/>
      <c r="AA130" s="157"/>
    </row>
    <row r="131">
      <c r="B131" s="166" t="s">
        <v>807</v>
      </c>
      <c r="C131" s="167"/>
      <c r="D131" s="168" t="s">
        <v>23</v>
      </c>
      <c r="E131" s="169"/>
      <c r="F131" s="170"/>
      <c r="G131" s="171"/>
      <c r="H131" s="85"/>
      <c r="I131" s="81"/>
      <c r="J131" s="171"/>
      <c r="K131" s="172"/>
      <c r="L131" s="173"/>
      <c r="M131" s="174"/>
      <c r="N131" s="157"/>
      <c r="O131" s="157"/>
      <c r="P131" s="157"/>
      <c r="Q131" s="157"/>
      <c r="R131" s="157"/>
      <c r="S131" s="157"/>
      <c r="T131" s="157"/>
      <c r="U131" s="157"/>
      <c r="V131" s="157"/>
      <c r="W131" s="157"/>
      <c r="X131" s="157"/>
      <c r="Y131" s="157"/>
      <c r="Z131" s="157"/>
      <c r="AA131" s="157"/>
    </row>
    <row r="132">
      <c r="B132" s="143" t="s">
        <v>808</v>
      </c>
      <c r="C132" s="143" t="s">
        <v>809</v>
      </c>
      <c r="D132" s="137" t="s">
        <v>810</v>
      </c>
      <c r="E132" s="97" t="s">
        <v>811</v>
      </c>
      <c r="F132" s="138" t="s">
        <v>19</v>
      </c>
      <c r="G132" s="89" t="s">
        <v>812</v>
      </c>
      <c r="I132" s="155">
        <v>97.0</v>
      </c>
      <c r="J132" s="89">
        <v>90.0</v>
      </c>
      <c r="K132" s="156" t="s">
        <v>813</v>
      </c>
      <c r="L132" s="142" t="s">
        <v>814</v>
      </c>
      <c r="M132" s="89" t="s">
        <v>815</v>
      </c>
      <c r="N132" s="157"/>
      <c r="O132" s="157"/>
      <c r="P132" s="157"/>
      <c r="Q132" s="157"/>
      <c r="R132" s="157"/>
      <c r="S132" s="157"/>
      <c r="T132" s="157"/>
      <c r="U132" s="157"/>
      <c r="V132" s="157"/>
      <c r="W132" s="157"/>
      <c r="X132" s="157"/>
      <c r="Y132" s="157"/>
      <c r="Z132" s="157"/>
      <c r="AA132" s="157"/>
    </row>
    <row r="133">
      <c r="B133" s="143" t="s">
        <v>816</v>
      </c>
      <c r="C133" s="143" t="s">
        <v>817</v>
      </c>
      <c r="D133" s="137" t="s">
        <v>818</v>
      </c>
      <c r="E133" s="97" t="s">
        <v>819</v>
      </c>
      <c r="F133" s="138" t="s">
        <v>19</v>
      </c>
      <c r="G133" s="149" t="s">
        <v>820</v>
      </c>
      <c r="I133" s="175">
        <v>92.0</v>
      </c>
      <c r="J133" s="149">
        <v>93.0</v>
      </c>
      <c r="K133" s="156" t="s">
        <v>821</v>
      </c>
      <c r="L133" s="142" t="s">
        <v>822</v>
      </c>
      <c r="M133" s="149" t="s">
        <v>823</v>
      </c>
      <c r="N133" s="157"/>
      <c r="O133" s="157"/>
      <c r="P133" s="157"/>
      <c r="Q133" s="157"/>
      <c r="R133" s="157"/>
      <c r="S133" s="157"/>
      <c r="T133" s="157"/>
      <c r="U133" s="157"/>
      <c r="V133" s="157"/>
      <c r="W133" s="157"/>
      <c r="X133" s="157"/>
      <c r="Y133" s="157"/>
      <c r="Z133" s="157"/>
      <c r="AA133" s="157"/>
    </row>
    <row r="134" ht="57.0" customHeight="1">
      <c r="B134" s="143" t="s">
        <v>824</v>
      </c>
      <c r="C134" s="143" t="s">
        <v>825</v>
      </c>
      <c r="D134" s="137" t="s">
        <v>826</v>
      </c>
      <c r="E134" s="90" t="s">
        <v>827</v>
      </c>
      <c r="F134" s="138" t="s">
        <v>652</v>
      </c>
      <c r="G134" s="89" t="s">
        <v>828</v>
      </c>
      <c r="I134" s="176">
        <v>95.0</v>
      </c>
      <c r="J134" s="89">
        <v>94.0</v>
      </c>
      <c r="K134" s="156" t="s">
        <v>829</v>
      </c>
      <c r="L134" s="142" t="s">
        <v>830</v>
      </c>
      <c r="M134" s="89" t="s">
        <v>831</v>
      </c>
      <c r="N134" s="177"/>
      <c r="O134" s="177"/>
      <c r="P134" s="177"/>
      <c r="Q134" s="177"/>
      <c r="R134" s="177"/>
      <c r="S134" s="177"/>
      <c r="T134" s="177"/>
      <c r="U134" s="177"/>
      <c r="V134" s="177"/>
      <c r="W134" s="177"/>
      <c r="X134" s="177"/>
      <c r="Y134" s="177"/>
      <c r="Z134" s="177"/>
      <c r="AA134" s="177"/>
    </row>
    <row r="135">
      <c r="B135" s="143" t="s">
        <v>832</v>
      </c>
      <c r="C135" s="143" t="s">
        <v>104</v>
      </c>
      <c r="D135" s="137" t="s">
        <v>833</v>
      </c>
      <c r="E135" s="90" t="s">
        <v>834</v>
      </c>
      <c r="F135" s="138" t="s">
        <v>19</v>
      </c>
      <c r="G135" s="89" t="s">
        <v>835</v>
      </c>
      <c r="I135" s="155">
        <v>92.0</v>
      </c>
      <c r="J135" s="89">
        <v>92.0</v>
      </c>
      <c r="K135" s="156" t="s">
        <v>836</v>
      </c>
      <c r="L135" s="142" t="s">
        <v>837</v>
      </c>
      <c r="M135" s="89" t="s">
        <v>838</v>
      </c>
      <c r="N135" s="177"/>
      <c r="O135" s="177"/>
      <c r="P135" s="177"/>
      <c r="Q135" s="177"/>
      <c r="R135" s="177"/>
      <c r="S135" s="177"/>
      <c r="T135" s="177"/>
      <c r="U135" s="177"/>
      <c r="V135" s="177"/>
      <c r="W135" s="177"/>
      <c r="X135" s="177"/>
      <c r="Y135" s="177"/>
      <c r="Z135" s="177"/>
      <c r="AA135" s="177"/>
    </row>
    <row r="136">
      <c r="B136" s="143" t="s">
        <v>839</v>
      </c>
      <c r="C136" s="178" t="str">
        <f>HYPERLINK("https://docs.google.com/document/d/1V8pYxo_qMC9xzJcl8CSjxOXNofGh5LZOnExVVU5SnAE/edit#heading=h.8lg0s0ffx6r1","Refactor users_controller.rb")</f>
        <v>Refactor users_controller.rb</v>
      </c>
      <c r="D136" s="137" t="s">
        <v>840</v>
      </c>
      <c r="E136" s="97" t="s">
        <v>841</v>
      </c>
      <c r="F136" s="138" t="s">
        <v>652</v>
      </c>
      <c r="G136" s="18" t="s">
        <v>18</v>
      </c>
      <c r="I136" s="155">
        <v>98.0</v>
      </c>
      <c r="J136" s="89">
        <v>95.0</v>
      </c>
      <c r="K136" s="156" t="s">
        <v>842</v>
      </c>
      <c r="L136" s="142" t="s">
        <v>843</v>
      </c>
      <c r="M136" s="89" t="s">
        <v>844</v>
      </c>
      <c r="N136" s="177"/>
      <c r="O136" s="177"/>
      <c r="P136" s="177"/>
      <c r="Q136" s="177"/>
      <c r="R136" s="177"/>
      <c r="S136" s="177"/>
      <c r="T136" s="177"/>
      <c r="U136" s="177"/>
      <c r="V136" s="177"/>
      <c r="W136" s="177"/>
      <c r="X136" s="177"/>
      <c r="Y136" s="177"/>
      <c r="Z136" s="177"/>
      <c r="AA136" s="177"/>
    </row>
    <row r="137">
      <c r="B137" s="143" t="s">
        <v>845</v>
      </c>
      <c r="C137" s="178" t="str">
        <f>HYPERLINK("https://docs.google.com/document/d/1V8pYxo_qMC9xzJcl8CSjxOXNofGh5LZOnExVVU5SnAE/edit#heading=h.gi01pcj54n3o","Refactor review_mapping_controller.rb")</f>
        <v>Refactor review_mapping_controller.rb</v>
      </c>
      <c r="D137" s="137" t="s">
        <v>846</v>
      </c>
      <c r="E137" s="90" t="s">
        <v>847</v>
      </c>
      <c r="F137" s="138" t="s">
        <v>19</v>
      </c>
      <c r="G137" s="89" t="s">
        <v>848</v>
      </c>
      <c r="I137" s="155">
        <v>97.0</v>
      </c>
      <c r="J137" s="89">
        <v>95.0</v>
      </c>
      <c r="K137" s="156" t="s">
        <v>849</v>
      </c>
      <c r="L137" s="142" t="s">
        <v>850</v>
      </c>
      <c r="M137" s="89" t="s">
        <v>851</v>
      </c>
      <c r="N137" s="177"/>
      <c r="O137" s="177"/>
      <c r="P137" s="177"/>
      <c r="Q137" s="177"/>
      <c r="R137" s="177"/>
      <c r="S137" s="177"/>
      <c r="T137" s="177"/>
      <c r="U137" s="177"/>
      <c r="V137" s="177"/>
      <c r="W137" s="177"/>
      <c r="X137" s="177"/>
      <c r="Y137" s="177"/>
      <c r="Z137" s="177"/>
      <c r="AA137" s="177"/>
    </row>
    <row r="138">
      <c r="B138" s="143" t="s">
        <v>852</v>
      </c>
      <c r="C138" s="178" t="str">
        <f>HYPERLINK("https://docs.google.com/document/d/1V8pYxo_qMC9xzJcl8CSjxOXNofGh5LZOnExVVU5SnAE/edit#heading=h.gv0ewupd0y6i","Refactor sign_up_sheet_controller.rb")</f>
        <v>Refactor sign_up_sheet_controller.rb</v>
      </c>
      <c r="D138" s="137" t="s">
        <v>853</v>
      </c>
      <c r="E138" s="97" t="s">
        <v>854</v>
      </c>
      <c r="F138" s="138" t="s">
        <v>19</v>
      </c>
      <c r="G138" s="122" t="s">
        <v>855</v>
      </c>
      <c r="I138" s="155">
        <v>98.0</v>
      </c>
      <c r="J138" s="89">
        <v>89.0</v>
      </c>
      <c r="K138" s="89" t="s">
        <v>856</v>
      </c>
      <c r="L138" s="142" t="s">
        <v>857</v>
      </c>
      <c r="M138" s="89" t="s">
        <v>858</v>
      </c>
      <c r="N138" s="177"/>
      <c r="O138" s="177"/>
      <c r="P138" s="177"/>
      <c r="Q138" s="177"/>
      <c r="R138" s="177"/>
      <c r="S138" s="177"/>
      <c r="T138" s="177"/>
      <c r="U138" s="177"/>
      <c r="V138" s="177"/>
      <c r="W138" s="177"/>
      <c r="X138" s="177"/>
      <c r="Y138" s="177"/>
      <c r="Z138" s="177"/>
      <c r="AA138" s="177"/>
    </row>
    <row r="139">
      <c r="B139" s="143" t="s">
        <v>859</v>
      </c>
      <c r="C139" s="143" t="s">
        <v>489</v>
      </c>
      <c r="D139" s="137" t="s">
        <v>860</v>
      </c>
      <c r="E139" s="90" t="s">
        <v>861</v>
      </c>
      <c r="F139" s="138" t="s">
        <v>19</v>
      </c>
      <c r="G139" s="63" t="s">
        <v>862</v>
      </c>
      <c r="H139" s="18" t="s">
        <v>7</v>
      </c>
      <c r="I139" s="179">
        <v>90.0</v>
      </c>
      <c r="J139" s="89">
        <v>96.0</v>
      </c>
      <c r="K139" s="89" t="s">
        <v>863</v>
      </c>
      <c r="L139" s="142" t="s">
        <v>864</v>
      </c>
      <c r="M139" s="89" t="s">
        <v>865</v>
      </c>
      <c r="N139" s="177"/>
      <c r="O139" s="177"/>
      <c r="P139" s="177"/>
      <c r="Q139" s="177"/>
      <c r="R139" s="177"/>
      <c r="S139" s="177"/>
      <c r="T139" s="177"/>
      <c r="U139" s="177"/>
      <c r="V139" s="177"/>
      <c r="W139" s="177"/>
      <c r="X139" s="177"/>
      <c r="Y139" s="177"/>
      <c r="Z139" s="177"/>
      <c r="AA139" s="177"/>
    </row>
    <row r="140">
      <c r="B140" s="143" t="s">
        <v>866</v>
      </c>
      <c r="C140" s="143" t="s">
        <v>867</v>
      </c>
      <c r="D140" s="137" t="s">
        <v>868</v>
      </c>
      <c r="E140" s="97" t="s">
        <v>869</v>
      </c>
      <c r="F140" s="138" t="s">
        <v>652</v>
      </c>
      <c r="G140" s="89" t="s">
        <v>870</v>
      </c>
      <c r="I140" s="155">
        <v>92.0</v>
      </c>
      <c r="J140" s="89">
        <v>96.0</v>
      </c>
      <c r="K140" s="156" t="s">
        <v>871</v>
      </c>
      <c r="L140" s="137" t="s">
        <v>872</v>
      </c>
      <c r="M140" s="89" t="s">
        <v>873</v>
      </c>
      <c r="N140" s="177"/>
      <c r="O140" s="177"/>
      <c r="P140" s="177"/>
      <c r="Q140" s="177"/>
      <c r="R140" s="177"/>
      <c r="S140" s="177"/>
      <c r="T140" s="177"/>
      <c r="U140" s="177"/>
      <c r="V140" s="177"/>
      <c r="W140" s="177"/>
      <c r="X140" s="177"/>
      <c r="Y140" s="177"/>
      <c r="Z140" s="177"/>
      <c r="AA140" s="177"/>
    </row>
    <row r="141">
      <c r="B141" s="143" t="s">
        <v>874</v>
      </c>
      <c r="C141" s="143" t="s">
        <v>875</v>
      </c>
      <c r="D141" s="18" t="s">
        <v>876</v>
      </c>
      <c r="E141" s="89" t="s">
        <v>877</v>
      </c>
      <c r="F141" s="138" t="s">
        <v>19</v>
      </c>
      <c r="G141" s="89" t="s">
        <v>878</v>
      </c>
      <c r="H141" s="18" t="s">
        <v>398</v>
      </c>
      <c r="I141" s="155">
        <v>90.0</v>
      </c>
      <c r="J141" s="89">
        <v>76.0</v>
      </c>
      <c r="K141" s="156" t="s">
        <v>879</v>
      </c>
      <c r="L141" s="180" t="s">
        <v>880</v>
      </c>
      <c r="M141" s="89" t="s">
        <v>881</v>
      </c>
      <c r="N141" s="177"/>
      <c r="O141" s="177"/>
      <c r="P141" s="177"/>
      <c r="Q141" s="177"/>
      <c r="R141" s="177"/>
      <c r="S141" s="177"/>
      <c r="T141" s="177"/>
      <c r="U141" s="177"/>
      <c r="V141" s="177"/>
      <c r="W141" s="177"/>
      <c r="X141" s="177"/>
      <c r="Y141" s="177"/>
      <c r="Z141" s="177"/>
      <c r="AA141" s="177"/>
    </row>
    <row r="142">
      <c r="B142" s="181" t="s">
        <v>882</v>
      </c>
      <c r="C142" s="181" t="s">
        <v>883</v>
      </c>
      <c r="D142" s="18" t="s">
        <v>884</v>
      </c>
      <c r="E142" s="89" t="s">
        <v>885</v>
      </c>
      <c r="F142" s="138" t="s">
        <v>19</v>
      </c>
      <c r="G142" s="89" t="s">
        <v>886</v>
      </c>
      <c r="H142" s="18" t="s">
        <v>7</v>
      </c>
      <c r="I142" s="176">
        <v>91.0</v>
      </c>
      <c r="J142" s="63">
        <v>88.0</v>
      </c>
      <c r="K142" s="156" t="s">
        <v>887</v>
      </c>
      <c r="L142" s="18" t="s">
        <v>888</v>
      </c>
      <c r="M142" s="89" t="s">
        <v>889</v>
      </c>
      <c r="N142" s="177"/>
      <c r="O142" s="177"/>
      <c r="P142" s="177"/>
      <c r="Q142" s="177"/>
      <c r="R142" s="177"/>
      <c r="S142" s="177"/>
      <c r="T142" s="177"/>
      <c r="U142" s="177"/>
      <c r="V142" s="177"/>
      <c r="W142" s="177"/>
      <c r="X142" s="177"/>
      <c r="Y142" s="177"/>
      <c r="Z142" s="177"/>
      <c r="AA142" s="177"/>
    </row>
    <row r="143">
      <c r="B143" s="94" t="s">
        <v>890</v>
      </c>
      <c r="C143" s="178" t="str">
        <f>HYPERLINK("https://docs.google.com/document/d/1V8pYxo_qMC9xzJcl8CSjxOXNofGh5LZOnExVVU5SnAE/edit#heading=h.frglu3vpm2c5","OSS project Duke Blue: Fix import glitches")</f>
        <v>OSS project Duke Blue: Fix import glitches</v>
      </c>
      <c r="D143" s="18" t="s">
        <v>891</v>
      </c>
      <c r="E143" s="111" t="s">
        <v>892</v>
      </c>
      <c r="F143" s="138" t="s">
        <v>893</v>
      </c>
      <c r="G143" s="89" t="s">
        <v>894</v>
      </c>
      <c r="H143">
        <f>COUNTIF(H56:H142,"Reuse")</f>
        <v>22</v>
      </c>
      <c r="I143" s="63">
        <v>97.0</v>
      </c>
      <c r="J143" s="63">
        <v>93.0</v>
      </c>
      <c r="K143" s="156" t="s">
        <v>895</v>
      </c>
      <c r="L143" s="18" t="s">
        <v>896</v>
      </c>
      <c r="M143" s="89" t="s">
        <v>897</v>
      </c>
      <c r="N143" s="177"/>
      <c r="O143" s="177"/>
      <c r="P143" s="177"/>
      <c r="Q143" s="177"/>
      <c r="R143" s="177"/>
      <c r="S143" s="177"/>
      <c r="T143" s="177"/>
      <c r="U143" s="177"/>
      <c r="V143" s="177"/>
      <c r="W143" s="177"/>
      <c r="X143" s="177"/>
      <c r="Y143" s="177"/>
      <c r="Z143" s="177"/>
      <c r="AA143" s="177"/>
    </row>
    <row r="144">
      <c r="A144" s="182" t="s">
        <v>898</v>
      </c>
      <c r="B144" s="183" t="s">
        <v>899</v>
      </c>
      <c r="C144" s="184" t="str">
        <f>HYPERLINK("https://docs.google.com/document/d/1Ozw2Bj2u_LyeKUdDqAyQtz1stEIKrxkmRnwmNyUgmzw/edit?ts=5cd6cc74#heading=h.fxfungdw1d5r","Integrate suggestion detection algorithm")</f>
        <v>Integrate suggestion detection algorithm</v>
      </c>
      <c r="D144" s="183" t="s">
        <v>900</v>
      </c>
      <c r="E144" s="185" t="s">
        <v>901</v>
      </c>
      <c r="F144" s="107" t="s">
        <v>902</v>
      </c>
      <c r="I144" s="186">
        <v>95.0</v>
      </c>
      <c r="J144" s="186">
        <v>91.0</v>
      </c>
      <c r="K144" s="89" t="s">
        <v>903</v>
      </c>
      <c r="L144" s="187"/>
      <c r="M144" s="89" t="s">
        <v>904</v>
      </c>
      <c r="N144" s="177"/>
      <c r="O144" s="177"/>
      <c r="P144" s="177"/>
      <c r="Q144" s="177"/>
      <c r="R144" s="177"/>
      <c r="S144" s="177"/>
      <c r="T144" s="177"/>
      <c r="U144" s="177"/>
      <c r="V144" s="177"/>
      <c r="W144" s="177"/>
      <c r="X144" s="177"/>
      <c r="Y144" s="177"/>
      <c r="Z144" s="177"/>
      <c r="AA144" s="177"/>
    </row>
    <row r="145">
      <c r="B145" s="183" t="s">
        <v>905</v>
      </c>
      <c r="C145" s="184" t="str">
        <f>HYPERLINK("https://docs.google.com/document/d/1Ozw2Bj2u_LyeKUdDqAyQtz1stEIKrxkmRnwmNyUgmzw/edit?ts=5cd6cc74#heading=h.z86zstcoj6u7","Specialized rubrics for different topic types (e.g., Servo project, refactoring project)")</f>
        <v>Specialized rubrics for different topic types (e.g., Servo project, refactoring project)</v>
      </c>
      <c r="D145" s="183" t="s">
        <v>906</v>
      </c>
      <c r="E145" s="184" t="s">
        <v>907</v>
      </c>
      <c r="F145" s="63" t="s">
        <v>18</v>
      </c>
      <c r="I145" s="188">
        <v>99.0</v>
      </c>
      <c r="J145" s="188">
        <v>100.0</v>
      </c>
      <c r="K145" s="89" t="s">
        <v>908</v>
      </c>
      <c r="L145" s="187"/>
      <c r="M145" s="189" t="s">
        <v>909</v>
      </c>
      <c r="N145" s="177"/>
      <c r="O145" s="177"/>
      <c r="P145" s="177"/>
      <c r="Q145" s="177"/>
      <c r="R145" s="177"/>
      <c r="S145" s="177"/>
      <c r="T145" s="177"/>
      <c r="U145" s="177"/>
      <c r="V145" s="177"/>
      <c r="W145" s="177"/>
      <c r="X145" s="177"/>
      <c r="Y145" s="177"/>
      <c r="Z145" s="177"/>
      <c r="AA145" s="177"/>
    </row>
    <row r="146">
      <c r="B146" s="190" t="s">
        <v>910</v>
      </c>
      <c r="C146" s="191" t="str">
        <f>HYPERLINK("https://docs.google.com/document/d/1Ozw2Bj2u_LyeKUdDqAyQtz1stEIKrxkmRnwmNyUgmzw/edit?ts=5cd6cc74#heading=h.xwl1huiwdyt8","Track the time students look at other submissions")</f>
        <v>Track the time students look at other submissions</v>
      </c>
      <c r="D146" s="190"/>
      <c r="E146" s="192"/>
      <c r="F146" s="193" t="s">
        <v>911</v>
      </c>
      <c r="G146" s="85"/>
      <c r="H146" s="80" t="s">
        <v>912</v>
      </c>
      <c r="I146" s="85"/>
      <c r="J146" s="85"/>
      <c r="K146" s="194"/>
      <c r="L146" s="195"/>
      <c r="M146" s="174"/>
      <c r="N146" s="177"/>
      <c r="O146" s="177"/>
      <c r="P146" s="177"/>
      <c r="Q146" s="177"/>
      <c r="R146" s="177"/>
      <c r="S146" s="177"/>
      <c r="T146" s="177"/>
      <c r="U146" s="177"/>
      <c r="V146" s="177"/>
      <c r="W146" s="177"/>
      <c r="X146" s="177"/>
      <c r="Y146" s="177"/>
      <c r="Z146" s="177"/>
      <c r="AA146" s="177"/>
    </row>
    <row r="147">
      <c r="B147" s="183" t="s">
        <v>913</v>
      </c>
      <c r="C147" s="184" t="str">
        <f>HYPERLINK("https://docs.google.com/document/d/1Ozw2Bj2u_LyeKUdDqAyQtz1stEIKrxkmRnwmNyUgmzw/edit?ts=5cd6cc74#heading=h.j5o7l6hc99mq","Grading audit trail")</f>
        <v>Grading audit trail</v>
      </c>
      <c r="D147" s="183" t="s">
        <v>914</v>
      </c>
      <c r="E147" s="184" t="s">
        <v>915</v>
      </c>
      <c r="F147" s="18" t="s">
        <v>19</v>
      </c>
      <c r="G147" s="196" t="s">
        <v>916</v>
      </c>
      <c r="I147" s="186">
        <v>95.0</v>
      </c>
      <c r="J147" s="186">
        <v>85.0</v>
      </c>
      <c r="K147" s="197" t="s">
        <v>917</v>
      </c>
      <c r="L147" s="187"/>
      <c r="M147" s="89" t="s">
        <v>918</v>
      </c>
      <c r="N147" s="177"/>
      <c r="O147" s="177"/>
      <c r="P147" s="177"/>
      <c r="Q147" s="177"/>
      <c r="R147" s="177"/>
      <c r="S147" s="177"/>
      <c r="T147" s="177"/>
      <c r="U147" s="177"/>
      <c r="V147" s="177"/>
      <c r="W147" s="177"/>
      <c r="X147" s="177"/>
      <c r="Y147" s="177"/>
      <c r="Z147" s="177"/>
      <c r="AA147" s="177"/>
    </row>
    <row r="148">
      <c r="B148" s="183" t="s">
        <v>919</v>
      </c>
      <c r="C148" s="184" t="str">
        <f>HYPERLINK("https://docs.google.com/document/d/1Ozw2Bj2u_LyeKUdDqAyQtz1stEIKrxkmRnwmNyUgmzw/edit?ts=5cd6cc74#heading=h.plfx52wxdrjz","Allow reviewer to say review can be shown to class as an example")</f>
        <v>Allow reviewer to say review can be shown to class as an example</v>
      </c>
      <c r="D148" s="183" t="s">
        <v>920</v>
      </c>
      <c r="E148" s="184" t="s">
        <v>921</v>
      </c>
      <c r="F148" s="133" t="s">
        <v>922</v>
      </c>
      <c r="H148" s="18" t="s">
        <v>912</v>
      </c>
      <c r="I148" s="188">
        <v>92.0</v>
      </c>
      <c r="J148" s="188">
        <v>92.0</v>
      </c>
      <c r="K148" s="107" t="s">
        <v>923</v>
      </c>
      <c r="L148" s="187"/>
      <c r="M148" s="89" t="s">
        <v>924</v>
      </c>
      <c r="N148" s="177"/>
      <c r="O148" s="177"/>
      <c r="P148" s="177"/>
      <c r="Q148" s="177"/>
      <c r="R148" s="177"/>
      <c r="S148" s="177"/>
      <c r="T148" s="177"/>
      <c r="U148" s="177"/>
      <c r="V148" s="177"/>
      <c r="W148" s="177"/>
      <c r="X148" s="177"/>
      <c r="Y148" s="177"/>
      <c r="Z148" s="177"/>
      <c r="AA148" s="177"/>
    </row>
    <row r="149">
      <c r="B149" s="183" t="s">
        <v>925</v>
      </c>
      <c r="C149" s="184" t="str">
        <f>HYPERLINK("https://docs.google.com/document/d/1Ozw2Bj2u_LyeKUdDqAyQtz1stEIKrxkmRnwmNyUgmzw/edit?ts=5cd6cc74#heading=h.dgcq94e0962y","Expertiza Internationalization")</f>
        <v>Expertiza Internationalization</v>
      </c>
      <c r="D149" s="183" t="s">
        <v>926</v>
      </c>
      <c r="E149" s="185" t="s">
        <v>927</v>
      </c>
      <c r="F149" s="198" t="s">
        <v>928</v>
      </c>
      <c r="G149" s="198" t="s">
        <v>929</v>
      </c>
      <c r="I149" s="188">
        <v>96.0</v>
      </c>
      <c r="J149" s="188">
        <v>92.0</v>
      </c>
      <c r="K149" s="89" t="s">
        <v>930</v>
      </c>
      <c r="L149" s="187"/>
      <c r="M149" s="89" t="s">
        <v>931</v>
      </c>
      <c r="N149" s="177"/>
      <c r="O149" s="177"/>
      <c r="P149" s="177"/>
      <c r="Q149" s="177"/>
      <c r="R149" s="177"/>
      <c r="S149" s="177"/>
      <c r="T149" s="177"/>
      <c r="U149" s="177"/>
      <c r="V149" s="177"/>
      <c r="W149" s="177"/>
      <c r="X149" s="177"/>
      <c r="Y149" s="177"/>
      <c r="Z149" s="177"/>
      <c r="AA149" s="177"/>
    </row>
    <row r="150">
      <c r="B150" s="183" t="s">
        <v>932</v>
      </c>
      <c r="C150" s="184" t="str">
        <f>HYPERLINK("https://docs.google.com/document/d/1Ozw2Bj2u_LyeKUdDqAyQtz1stEIKrxkmRnwmNyUgmzw/edit?ts=5cd6cc74#heading=h.o57p2ve4qtnx","Conflict notification")</f>
        <v>Conflict notification</v>
      </c>
      <c r="D150" s="183" t="s">
        <v>933</v>
      </c>
      <c r="E150" s="185" t="s">
        <v>934</v>
      </c>
      <c r="F150" s="133"/>
      <c r="I150" s="186">
        <v>92.0</v>
      </c>
      <c r="J150" s="186">
        <v>91.0</v>
      </c>
      <c r="K150" s="197" t="s">
        <v>935</v>
      </c>
      <c r="L150" s="187"/>
      <c r="M150" s="89" t="s">
        <v>936</v>
      </c>
      <c r="N150" s="177"/>
      <c r="O150" s="177"/>
      <c r="P150" s="177"/>
      <c r="Q150" s="177"/>
      <c r="R150" s="177"/>
      <c r="S150" s="177"/>
      <c r="T150" s="177"/>
      <c r="U150" s="177"/>
      <c r="V150" s="177"/>
      <c r="W150" s="177"/>
      <c r="X150" s="177"/>
      <c r="Y150" s="177"/>
      <c r="Z150" s="177"/>
      <c r="AA150" s="177"/>
    </row>
    <row r="151">
      <c r="B151" s="183" t="s">
        <v>937</v>
      </c>
      <c r="C151" s="184" t="str">
        <f>HYPERLINK("https://docs.google.com/document/d/1Ozw2Bj2u_LyeKUdDqAyQtz1stEIKrxkmRnwmNyUgmzw/edit?ts=5cd6cc74#heading=h.d5uh8skc9rn8","Improving search facility in Expertiza")</f>
        <v>Improving search facility in Expertiza</v>
      </c>
      <c r="D151" s="199" t="s">
        <v>938</v>
      </c>
      <c r="E151" s="200" t="s">
        <v>939</v>
      </c>
      <c r="F151" s="133" t="s">
        <v>922</v>
      </c>
      <c r="I151" s="188">
        <v>90.0</v>
      </c>
      <c r="J151" s="188">
        <v>93.0</v>
      </c>
      <c r="K151" s="107" t="s">
        <v>940</v>
      </c>
      <c r="L151" s="187"/>
      <c r="M151" s="201" t="s">
        <v>941</v>
      </c>
      <c r="N151" s="177"/>
      <c r="O151" s="177"/>
      <c r="P151" s="177"/>
      <c r="Q151" s="177"/>
      <c r="R151" s="177"/>
      <c r="S151" s="177"/>
      <c r="T151" s="177"/>
      <c r="U151" s="177"/>
      <c r="V151" s="177"/>
      <c r="W151" s="177"/>
      <c r="X151" s="177"/>
      <c r="Y151" s="177"/>
      <c r="Z151" s="177"/>
      <c r="AA151" s="177"/>
    </row>
    <row r="152">
      <c r="B152" s="183" t="s">
        <v>942</v>
      </c>
      <c r="C152" s="184" t="str">
        <f>HYPERLINK("https://docs.google.com/document/d/1Ozw2Bj2u_LyeKUdDqAyQtz1stEIKrxkmRnwmNyUgmzw/edit?ts=5cd6cc74#heading=h.5kwrelqdnewh","Visualizations for instructors")</f>
        <v>Visualizations for instructors</v>
      </c>
      <c r="D152" s="183" t="s">
        <v>943</v>
      </c>
      <c r="E152" s="185" t="s">
        <v>944</v>
      </c>
      <c r="F152" s="18" t="s">
        <v>19</v>
      </c>
      <c r="G152" s="202" t="s">
        <v>945</v>
      </c>
      <c r="I152" s="186">
        <v>95.0</v>
      </c>
      <c r="J152" s="186">
        <v>91.0</v>
      </c>
      <c r="K152" s="197" t="s">
        <v>946</v>
      </c>
      <c r="L152" s="187"/>
      <c r="M152" s="189" t="s">
        <v>947</v>
      </c>
      <c r="N152" s="177"/>
      <c r="O152" s="177"/>
      <c r="P152" s="177"/>
      <c r="Q152" s="177"/>
      <c r="R152" s="177"/>
      <c r="S152" s="177"/>
      <c r="T152" s="177"/>
      <c r="U152" s="177"/>
      <c r="V152" s="177"/>
      <c r="W152" s="177"/>
      <c r="X152" s="177"/>
      <c r="Y152" s="177"/>
      <c r="Z152" s="177"/>
      <c r="AA152" s="177"/>
    </row>
    <row r="153">
      <c r="B153" s="183" t="s">
        <v>948</v>
      </c>
      <c r="C153" s="184" t="str">
        <f>HYPERLINK("https://docs.google.com/document/d/1Ozw2Bj2u_LyeKUdDqAyQtz1stEIKrxkmRnwmNyUgmzw/edit?ts=5cd6cc74#heading=h.qkbv9zfkxks8","Allow reviewers to bid on what to review")</f>
        <v>Allow reviewers to bid on what to review</v>
      </c>
      <c r="D153" s="183" t="s">
        <v>949</v>
      </c>
      <c r="E153" s="185" t="s">
        <v>950</v>
      </c>
      <c r="F153" s="133" t="s">
        <v>922</v>
      </c>
      <c r="H153" s="18" t="s">
        <v>912</v>
      </c>
      <c r="I153" s="186">
        <v>88.0</v>
      </c>
      <c r="J153" s="186">
        <v>91.0</v>
      </c>
      <c r="K153" s="89" t="s">
        <v>951</v>
      </c>
      <c r="L153" s="187"/>
      <c r="M153" s="89" t="s">
        <v>947</v>
      </c>
      <c r="N153" s="177"/>
      <c r="O153" s="177"/>
      <c r="P153" s="177"/>
      <c r="Q153" s="177"/>
      <c r="R153" s="177"/>
      <c r="S153" s="177"/>
      <c r="T153" s="177"/>
      <c r="U153" s="177"/>
      <c r="V153" s="177"/>
      <c r="W153" s="177"/>
      <c r="X153" s="177"/>
      <c r="Y153" s="177"/>
      <c r="Z153" s="177"/>
      <c r="AA153" s="177"/>
    </row>
    <row r="154">
      <c r="B154" s="183" t="s">
        <v>952</v>
      </c>
      <c r="C154" s="184" t="str">
        <f>HYPERLINK("https://docs.google.com/document/d/1Ozw2Bj2u_LyeKUdDqAyQtz1stEIKrxkmRnwmNyUgmzw/edit?ts=5cd6cc74#heading=h.bumi2mscmmgf","Let course staff as well as students do reviews")</f>
        <v>Let course staff as well as students do reviews</v>
      </c>
      <c r="D154" s="183" t="s">
        <v>953</v>
      </c>
      <c r="E154" s="185" t="s">
        <v>954</v>
      </c>
      <c r="F154" s="133" t="s">
        <v>922</v>
      </c>
      <c r="H154" s="18" t="s">
        <v>955</v>
      </c>
      <c r="I154" s="186">
        <v>90.0</v>
      </c>
      <c r="J154" s="186">
        <v>92.0</v>
      </c>
      <c r="K154" s="89" t="s">
        <v>956</v>
      </c>
      <c r="L154" s="187"/>
      <c r="M154" s="89" t="s">
        <v>957</v>
      </c>
      <c r="N154" s="177"/>
      <c r="O154" s="177"/>
      <c r="P154" s="177"/>
      <c r="Q154" s="177"/>
      <c r="R154" s="177"/>
      <c r="S154" s="177"/>
      <c r="T154" s="177"/>
      <c r="U154" s="177"/>
      <c r="V154" s="177"/>
      <c r="W154" s="177"/>
      <c r="X154" s="177"/>
      <c r="Y154" s="177"/>
      <c r="Z154" s="177"/>
      <c r="AA154" s="177"/>
    </row>
    <row r="155">
      <c r="B155" s="183" t="s">
        <v>958</v>
      </c>
      <c r="C155" s="184" t="str">
        <f>HYPERLINK("https://docs.google.com/document/d/1Ozw2Bj2u_LyeKUdDqAyQtz1stEIKrxkmRnwmNyUgmzw/edit?ts=5cd6cc74#heading=h.ex3w6uap3smi","Improve self-review Link peer review &amp; self-review to derive grades")</f>
        <v>Improve self-review Link peer review &amp; self-review to derive grades</v>
      </c>
      <c r="D155" s="183" t="s">
        <v>959</v>
      </c>
      <c r="E155" s="185" t="s">
        <v>960</v>
      </c>
      <c r="F155" s="133" t="s">
        <v>922</v>
      </c>
      <c r="H155" s="18" t="s">
        <v>961</v>
      </c>
      <c r="I155" s="188">
        <v>83.0</v>
      </c>
      <c r="J155" s="188">
        <v>87.0</v>
      </c>
      <c r="K155" s="89" t="s">
        <v>962</v>
      </c>
      <c r="L155" s="187"/>
      <c r="M155" s="89" t="s">
        <v>963</v>
      </c>
      <c r="N155" s="177"/>
      <c r="O155" s="177"/>
      <c r="P155" s="177"/>
      <c r="Q155" s="177"/>
      <c r="R155" s="177"/>
      <c r="S155" s="177"/>
      <c r="T155" s="177"/>
      <c r="U155" s="177"/>
      <c r="V155" s="177"/>
      <c r="W155" s="177"/>
      <c r="X155" s="177"/>
      <c r="Y155" s="177"/>
      <c r="Z155" s="177"/>
      <c r="AA155" s="177"/>
    </row>
    <row r="156">
      <c r="B156" s="183" t="s">
        <v>964</v>
      </c>
      <c r="C156" s="184" t="str">
        <f>HYPERLINK("https://docs.google.com/document/d/1Ozw2Bj2u_LyeKUdDqAyQtz1stEIKrxkmRnwmNyUgmzw/edit?ts=5cd6cc74#heading=h.2tbiv8ecsmu7","Refactor E1858. Github metrics integration")</f>
        <v>Refactor E1858. Github metrics integration</v>
      </c>
      <c r="D156" s="183" t="s">
        <v>965</v>
      </c>
      <c r="E156" s="184" t="s">
        <v>966</v>
      </c>
      <c r="F156" s="18" t="s">
        <v>19</v>
      </c>
      <c r="G156" s="107" t="s">
        <v>967</v>
      </c>
      <c r="I156" s="188">
        <v>94.0</v>
      </c>
      <c r="J156" s="188">
        <v>94.0</v>
      </c>
      <c r="K156" s="107" t="s">
        <v>968</v>
      </c>
      <c r="L156" s="187"/>
      <c r="M156" s="189" t="s">
        <v>969</v>
      </c>
      <c r="N156" s="177"/>
      <c r="O156" s="177"/>
      <c r="P156" s="177"/>
      <c r="Q156" s="177"/>
      <c r="R156" s="177"/>
      <c r="S156" s="177"/>
      <c r="T156" s="177"/>
      <c r="U156" s="177"/>
      <c r="V156" s="177"/>
      <c r="W156" s="177"/>
      <c r="X156" s="177"/>
      <c r="Y156" s="177"/>
      <c r="Z156" s="177"/>
      <c r="AA156" s="177"/>
    </row>
    <row r="157">
      <c r="B157" s="183" t="s">
        <v>970</v>
      </c>
      <c r="C157" s="184" t="str">
        <f>HYPERLINK("https://docs.google.com/document/d/1Ozw2Bj2u_LyeKUdDqAyQtz1stEIKrxkmRnwmNyUgmzw/edit?ts=5cd6cc74#heading=h.q72xd72qusch","Regulate changing of rubrics while projects are in progress")</f>
        <v>Regulate changing of rubrics while projects are in progress</v>
      </c>
      <c r="D157" s="183" t="s">
        <v>971</v>
      </c>
      <c r="E157" s="184" t="s">
        <v>972</v>
      </c>
      <c r="F157" s="107" t="s">
        <v>911</v>
      </c>
      <c r="I157" s="188">
        <v>91.0</v>
      </c>
      <c r="J157" s="188">
        <v>96.0</v>
      </c>
      <c r="K157" s="89" t="s">
        <v>973</v>
      </c>
      <c r="L157" s="187"/>
      <c r="M157" s="89" t="s">
        <v>974</v>
      </c>
      <c r="N157" s="177"/>
      <c r="O157" s="177"/>
      <c r="P157" s="177"/>
      <c r="Q157" s="177"/>
      <c r="R157" s="177"/>
      <c r="S157" s="177"/>
      <c r="T157" s="177"/>
      <c r="U157" s="177"/>
      <c r="V157" s="177"/>
      <c r="W157" s="177"/>
      <c r="X157" s="177"/>
      <c r="Y157" s="177"/>
      <c r="Z157" s="177"/>
      <c r="AA157" s="177"/>
    </row>
    <row r="158">
      <c r="B158" s="183" t="s">
        <v>975</v>
      </c>
      <c r="C158" s="184" t="str">
        <f>HYPERLINK("https://docs.google.com/document/d/1Ozw2Bj2u_LyeKUdDqAyQtz1stEIKrxkmRnwmNyUgmzw/edit?ts=5cd6cc74#heading=h.gt591iba2jb1","A new framework for import and export")</f>
        <v>A new framework for import and export</v>
      </c>
      <c r="D158" s="183" t="s">
        <v>976</v>
      </c>
      <c r="E158" s="185" t="s">
        <v>977</v>
      </c>
      <c r="F158" s="133" t="s">
        <v>978</v>
      </c>
      <c r="G158" s="18" t="s">
        <v>18</v>
      </c>
      <c r="I158" s="186">
        <v>96.0</v>
      </c>
      <c r="J158" s="186">
        <v>96.0</v>
      </c>
      <c r="K158" s="89" t="s">
        <v>979</v>
      </c>
      <c r="L158" s="187"/>
      <c r="M158" s="89" t="s">
        <v>980</v>
      </c>
      <c r="N158" s="177"/>
      <c r="O158" s="177"/>
      <c r="P158" s="177"/>
      <c r="Q158" s="177"/>
      <c r="R158" s="177"/>
      <c r="S158" s="177"/>
      <c r="T158" s="177"/>
      <c r="U158" s="177"/>
      <c r="V158" s="177"/>
      <c r="W158" s="177"/>
      <c r="X158" s="177"/>
      <c r="Y158" s="177"/>
      <c r="Z158" s="177"/>
      <c r="AA158" s="177"/>
    </row>
    <row r="159">
      <c r="A159" s="203" t="s">
        <v>981</v>
      </c>
      <c r="B159" s="204" t="s">
        <v>982</v>
      </c>
      <c r="C159" s="205" t="str">
        <f>HYPERLINK("https://docs.google.com/document/d/17tkcuA7AWgGEzDGpjEJ7ktPzbSr-D89MJZd-cXzSCuE/edit?ts=5cd6cc08#heading=h.yykmmgw7amme","Write tests for assessment360_controller.rb")</f>
        <v>Write tests for assessment360_controller.rb</v>
      </c>
      <c r="D159" s="206" t="s">
        <v>983</v>
      </c>
      <c r="E159" s="207" t="s">
        <v>984</v>
      </c>
      <c r="F159" s="63" t="s">
        <v>18</v>
      </c>
      <c r="G159" s="18" t="s">
        <v>18</v>
      </c>
      <c r="I159" s="63">
        <v>99.0</v>
      </c>
      <c r="J159" s="63">
        <v>88.0</v>
      </c>
      <c r="K159" s="106" t="s">
        <v>985</v>
      </c>
      <c r="L159" s="208"/>
      <c r="M159" s="89" t="s">
        <v>986</v>
      </c>
      <c r="N159" s="177"/>
      <c r="O159" s="177"/>
      <c r="P159" s="177"/>
      <c r="Q159" s="177"/>
      <c r="R159" s="177"/>
      <c r="S159" s="177"/>
      <c r="T159" s="177"/>
      <c r="U159" s="177"/>
      <c r="V159" s="177"/>
      <c r="W159" s="177"/>
      <c r="X159" s="177"/>
      <c r="Y159" s="177"/>
      <c r="Z159" s="177"/>
      <c r="AA159" s="177"/>
    </row>
    <row r="160">
      <c r="B160" s="204" t="s">
        <v>987</v>
      </c>
      <c r="C160" s="205" t="str">
        <f>HYPERLINK("https://docs.google.com/document/d/17tkcuA7AWgGEzDGpjEJ7ktPzbSr-D89MJZd-cXzSCuE/edit?ts=5cd6cc08#heading=h.yiosr0qxn6s4","Write tests for popup_controller.rb")</f>
        <v>Write tests for popup_controller.rb</v>
      </c>
      <c r="D160" s="209" t="s">
        <v>988</v>
      </c>
      <c r="E160" s="207" t="s">
        <v>989</v>
      </c>
      <c r="F160" s="210" t="s">
        <v>19</v>
      </c>
      <c r="G160" s="18">
        <v>3.0</v>
      </c>
      <c r="I160" s="63">
        <v>93.0</v>
      </c>
      <c r="J160" s="63">
        <v>98.0</v>
      </c>
      <c r="K160" s="106" t="s">
        <v>990</v>
      </c>
      <c r="L160" s="208"/>
      <c r="M160" s="89" t="s">
        <v>991</v>
      </c>
      <c r="N160" s="177"/>
      <c r="O160" s="177"/>
      <c r="P160" s="177"/>
      <c r="Q160" s="177"/>
      <c r="R160" s="177"/>
      <c r="S160" s="177"/>
      <c r="T160" s="177"/>
      <c r="U160" s="177"/>
      <c r="V160" s="177"/>
      <c r="W160" s="177"/>
      <c r="X160" s="177"/>
      <c r="Y160" s="177"/>
      <c r="Z160" s="177"/>
      <c r="AA160" s="177"/>
    </row>
    <row r="161">
      <c r="B161" s="204" t="s">
        <v>992</v>
      </c>
      <c r="C161" s="205" t="str">
        <f>HYPERLINK("https://docs.google.com/document/d/17tkcuA7AWgGEzDGpjEJ7ktPzbSr-D89MJZd-cXzSCuE/edit?ts=5cd6cc08#heading=h.jes8j9o3codt","Fix Code Climate issues in models with names beginning with ‘Se’ thru ‘Z’")</f>
        <v>Fix Code Climate issues in models with names beginning with ‘Se’ thru ‘Z’</v>
      </c>
      <c r="D161" s="209" t="s">
        <v>993</v>
      </c>
      <c r="E161" s="207" t="s">
        <v>994</v>
      </c>
      <c r="F161" s="133" t="s">
        <v>995</v>
      </c>
      <c r="G161" s="18">
        <v>2.0</v>
      </c>
      <c r="I161" s="63">
        <v>99.0</v>
      </c>
      <c r="J161" s="63">
        <v>99.0</v>
      </c>
      <c r="K161" s="141" t="s">
        <v>996</v>
      </c>
      <c r="L161" s="208"/>
      <c r="M161" s="107" t="s">
        <v>997</v>
      </c>
      <c r="N161" s="177"/>
      <c r="O161" s="177"/>
      <c r="P161" s="177"/>
      <c r="Q161" s="177"/>
      <c r="R161" s="177"/>
      <c r="S161" s="177"/>
      <c r="T161" s="177"/>
      <c r="U161" s="177"/>
      <c r="V161" s="177"/>
      <c r="W161" s="177"/>
      <c r="X161" s="177"/>
      <c r="Y161" s="177"/>
      <c r="Z161" s="177"/>
      <c r="AA161" s="177"/>
    </row>
    <row r="162">
      <c r="B162" s="204" t="s">
        <v>998</v>
      </c>
      <c r="C162" s="205" t="str">
        <f>HYPERLINK("https://docs.google.com/document/d/17tkcuA7AWgGEzDGpjEJ7ktPzbSr-D89MJZd-cXzSCuE/edit?ts=5cd6cc08#heading=h.sgp3uk8gblz3","Fix Code Climate issues in models with names beginning with ‘H’ thru ‘Sc’")</f>
        <v>Fix Code Climate issues in models with names beginning with ‘H’ thru ‘Sc’</v>
      </c>
      <c r="D162" s="209" t="s">
        <v>999</v>
      </c>
      <c r="E162" s="207" t="s">
        <v>1000</v>
      </c>
      <c r="F162" s="210" t="s">
        <v>929</v>
      </c>
      <c r="G162" s="18">
        <v>2.0</v>
      </c>
      <c r="H162" s="18" t="s">
        <v>1001</v>
      </c>
      <c r="I162" s="63">
        <v>93.0</v>
      </c>
      <c r="J162" s="63">
        <v>97.0</v>
      </c>
      <c r="K162" s="141" t="s">
        <v>1002</v>
      </c>
      <c r="L162" s="208"/>
      <c r="M162" s="89" t="s">
        <v>1003</v>
      </c>
      <c r="N162" s="177"/>
      <c r="O162" s="177"/>
      <c r="P162" s="177"/>
      <c r="Q162" s="177"/>
      <c r="R162" s="177"/>
      <c r="S162" s="177"/>
      <c r="T162" s="177"/>
      <c r="U162" s="177"/>
      <c r="V162" s="177"/>
      <c r="W162" s="177"/>
      <c r="X162" s="177"/>
      <c r="Y162" s="177"/>
      <c r="Z162" s="177"/>
      <c r="AA162" s="177"/>
    </row>
    <row r="163">
      <c r="B163" s="211" t="s">
        <v>1004</v>
      </c>
      <c r="C163" s="212" t="str">
        <f>HYPERLINK("https://docs.google.com/document/d/17tkcuA7AWgGEzDGpjEJ7ktPzbSr-D89MJZd-cXzSCuE/edit?ts=5cd6cc08#heading=h.52yfuw1y48x5","Fix Code Climate issues in models with names beginning with ‘A’ thru ‘G’")</f>
        <v>Fix Code Climate issues in models with names beginning with ‘A’ thru ‘G’</v>
      </c>
      <c r="D163" s="211" t="s">
        <v>23</v>
      </c>
      <c r="E163" s="213"/>
      <c r="F163" s="214"/>
      <c r="G163" s="31"/>
      <c r="H163" s="31"/>
      <c r="I163" s="214"/>
      <c r="J163" s="214"/>
      <c r="K163" s="165"/>
      <c r="L163" s="215"/>
      <c r="M163" s="165"/>
      <c r="N163" s="177"/>
      <c r="O163" s="177"/>
      <c r="P163" s="177"/>
      <c r="Q163" s="177"/>
      <c r="R163" s="177"/>
      <c r="S163" s="177"/>
      <c r="T163" s="177"/>
      <c r="U163" s="177"/>
      <c r="V163" s="177"/>
      <c r="W163" s="177"/>
      <c r="X163" s="177"/>
      <c r="Y163" s="177"/>
      <c r="Z163" s="177"/>
      <c r="AA163" s="177"/>
    </row>
    <row r="164">
      <c r="B164" s="204" t="s">
        <v>1005</v>
      </c>
      <c r="C164" s="205" t="str">
        <f>HYPERLINK("https://docs.google.com/document/d/17tkcuA7AWgGEzDGpjEJ7ktPzbSr-D89MJZd-cXzSCuE/edit?ts=5cd6cc08#heading=h.4r0sazujw6i","Fix Code Climate issues in controllers with names beginning with P through Z")</f>
        <v>Fix Code Climate issues in controllers with names beginning with P through Z</v>
      </c>
      <c r="D164" s="209" t="s">
        <v>1006</v>
      </c>
      <c r="E164" s="207" t="s">
        <v>1007</v>
      </c>
      <c r="F164" s="133" t="s">
        <v>19</v>
      </c>
      <c r="I164" s="63">
        <v>89.0</v>
      </c>
      <c r="J164" s="63">
        <v>96.0</v>
      </c>
      <c r="K164" s="141" t="s">
        <v>1008</v>
      </c>
      <c r="L164" s="208"/>
      <c r="M164" s="201" t="s">
        <v>1009</v>
      </c>
      <c r="N164" s="177"/>
      <c r="O164" s="177"/>
      <c r="P164" s="177"/>
      <c r="Q164" s="177"/>
      <c r="R164" s="177"/>
      <c r="S164" s="177"/>
      <c r="T164" s="177"/>
      <c r="U164" s="177"/>
      <c r="V164" s="177"/>
      <c r="W164" s="177"/>
      <c r="X164" s="177"/>
      <c r="Y164" s="177"/>
      <c r="Z164" s="177"/>
      <c r="AA164" s="177"/>
    </row>
    <row r="165">
      <c r="B165" s="204" t="s">
        <v>1010</v>
      </c>
      <c r="C165" s="205" t="str">
        <f>HYPERLINK("https://docs.google.com/document/d/17tkcuA7AWgGEzDGpjEJ7ktPzbSr-D89MJZd-cXzSCuE/edit?ts=5cd6cc08#heading=h.jyhixsx0gwyy","Fix Code Climate issues in controllers with names beginning with A through N")</f>
        <v>Fix Code Climate issues in controllers with names beginning with A through N</v>
      </c>
      <c r="D165" s="209" t="s">
        <v>1011</v>
      </c>
      <c r="E165" s="207" t="s">
        <v>1012</v>
      </c>
      <c r="F165" s="133" t="s">
        <v>19</v>
      </c>
      <c r="H165" s="18" t="s">
        <v>912</v>
      </c>
      <c r="I165" s="63">
        <v>92.0</v>
      </c>
      <c r="J165" s="63">
        <v>95.0</v>
      </c>
      <c r="K165" s="141" t="s">
        <v>1013</v>
      </c>
      <c r="L165" s="208"/>
      <c r="M165" s="89" t="s">
        <v>1014</v>
      </c>
      <c r="N165" s="177"/>
      <c r="O165" s="177"/>
      <c r="P165" s="177"/>
      <c r="Q165" s="177"/>
      <c r="R165" s="177"/>
      <c r="S165" s="177"/>
      <c r="T165" s="177"/>
      <c r="U165" s="177"/>
      <c r="V165" s="177"/>
      <c r="W165" s="177"/>
      <c r="X165" s="177"/>
      <c r="Y165" s="177"/>
      <c r="Z165" s="177"/>
      <c r="AA165" s="177"/>
    </row>
    <row r="166">
      <c r="B166" s="204" t="s">
        <v>1015</v>
      </c>
      <c r="C166" s="205" t="str">
        <f>HYPERLINK("https://docs.google.com/document/d/17tkcuA7AWgGEzDGpjEJ7ktPzbSr-D89MJZd-cXzSCuE/edit?ts=5cd6cc08#heading=h.3tm7bag5ty7x","Authorization utilities")</f>
        <v>Authorization utilities</v>
      </c>
      <c r="D166" s="209" t="s">
        <v>1016</v>
      </c>
      <c r="E166" s="216" t="s">
        <v>1017</v>
      </c>
      <c r="F166" s="198" t="s">
        <v>18</v>
      </c>
      <c r="G166" s="18">
        <v>1.0</v>
      </c>
      <c r="I166" s="63">
        <v>99.0</v>
      </c>
      <c r="J166" s="63">
        <v>96.0</v>
      </c>
      <c r="K166" s="118" t="s">
        <v>1018</v>
      </c>
      <c r="L166" s="208"/>
      <c r="M166" s="89" t="s">
        <v>1019</v>
      </c>
      <c r="N166" s="177"/>
      <c r="O166" s="177"/>
      <c r="P166" s="177"/>
      <c r="Q166" s="177"/>
      <c r="R166" s="177"/>
      <c r="S166" s="177"/>
      <c r="T166" s="177"/>
      <c r="U166" s="177"/>
      <c r="V166" s="177"/>
      <c r="W166" s="177"/>
      <c r="X166" s="177"/>
      <c r="Y166" s="177"/>
      <c r="Z166" s="177"/>
      <c r="AA166" s="177"/>
    </row>
    <row r="167">
      <c r="B167" s="204" t="s">
        <v>1020</v>
      </c>
      <c r="C167" s="205" t="str">
        <f>HYPERLINK("https://docs.google.com/document/d/17tkcuA7AWgGEzDGpjEJ7ktPzbSr-D89MJZd-cXzSCuE/edit?ts=5cd6cc08#heading=h.8lg0s0ffx6r1","Refactor users_controller.rb")</f>
        <v>Refactor users_controller.rb</v>
      </c>
      <c r="D167" s="209" t="s">
        <v>1021</v>
      </c>
      <c r="E167" s="207" t="s">
        <v>1022</v>
      </c>
      <c r="F167" s="133" t="s">
        <v>19</v>
      </c>
      <c r="H167" s="18" t="s">
        <v>912</v>
      </c>
      <c r="I167" s="63">
        <v>91.0</v>
      </c>
      <c r="J167" s="63">
        <v>98.0</v>
      </c>
      <c r="K167" s="141" t="s">
        <v>1023</v>
      </c>
      <c r="L167" s="208"/>
      <c r="M167" s="89" t="s">
        <v>1024</v>
      </c>
      <c r="N167" s="177"/>
      <c r="O167" s="177"/>
      <c r="P167" s="177"/>
      <c r="Q167" s="177"/>
      <c r="R167" s="177"/>
      <c r="S167" s="177"/>
      <c r="T167" s="177"/>
      <c r="U167" s="177"/>
      <c r="V167" s="177"/>
      <c r="W167" s="177"/>
      <c r="X167" s="177"/>
      <c r="Y167" s="177"/>
      <c r="Z167" s="177"/>
      <c r="AA167" s="177"/>
    </row>
    <row r="168">
      <c r="B168" s="204" t="s">
        <v>1025</v>
      </c>
      <c r="C168" s="205" t="str">
        <f>HYPERLINK("https://docs.google.com/document/d/17tkcuA7AWgGEzDGpjEJ7ktPzbSr-D89MJZd-cXzSCuE/edit?ts=5cd6cc08#heading=h.i7ppf1l1x4jq","Refactor review_mapping_helper.rb")</f>
        <v>Refactor review_mapping_helper.rb</v>
      </c>
      <c r="D168" s="209" t="s">
        <v>1026</v>
      </c>
      <c r="E168" s="207" t="s">
        <v>1027</v>
      </c>
      <c r="F168" s="198" t="s">
        <v>929</v>
      </c>
      <c r="G168" s="18">
        <v>2.0</v>
      </c>
      <c r="I168" s="63">
        <v>94.0</v>
      </c>
      <c r="J168" s="63">
        <v>94.0</v>
      </c>
      <c r="K168" s="141" t="s">
        <v>1028</v>
      </c>
      <c r="L168" s="208"/>
      <c r="M168" s="89" t="s">
        <v>1029</v>
      </c>
      <c r="N168" s="177"/>
      <c r="O168" s="177"/>
      <c r="P168" s="177"/>
      <c r="Q168" s="177"/>
      <c r="R168" s="177"/>
      <c r="S168" s="177"/>
      <c r="T168" s="177"/>
      <c r="U168" s="177"/>
      <c r="V168" s="177"/>
      <c r="W168" s="177"/>
      <c r="X168" s="177"/>
      <c r="Y168" s="177"/>
      <c r="Z168" s="177"/>
      <c r="AA168" s="177"/>
    </row>
    <row r="169">
      <c r="B169" s="204" t="s">
        <v>1030</v>
      </c>
      <c r="C169" s="205" t="str">
        <f>HYPERLINK("https://docs.google.com/document/d/17tkcuA7AWgGEzDGpjEJ7ktPzbSr-D89MJZd-cXzSCuE/edit?ts=5cd6cc08#heading=h.a7x9yanukfbe","Export tagged comments")</f>
        <v>Export tagged comments</v>
      </c>
      <c r="D169" s="209" t="s">
        <v>1031</v>
      </c>
      <c r="E169" s="207" t="s">
        <v>1032</v>
      </c>
      <c r="F169" s="133" t="s">
        <v>19</v>
      </c>
      <c r="I169" s="63">
        <v>98.0</v>
      </c>
      <c r="J169" s="63">
        <v>92.0</v>
      </c>
      <c r="K169" s="141" t="s">
        <v>1033</v>
      </c>
      <c r="L169" s="208"/>
      <c r="M169" s="89" t="s">
        <v>1034</v>
      </c>
      <c r="N169" s="177"/>
      <c r="O169" s="177"/>
      <c r="P169" s="177"/>
      <c r="Q169" s="177"/>
      <c r="R169" s="177"/>
      <c r="S169" s="177"/>
      <c r="T169" s="177"/>
      <c r="U169" s="177"/>
      <c r="V169" s="177"/>
      <c r="W169" s="177"/>
      <c r="X169" s="177"/>
      <c r="Y169" s="177"/>
      <c r="Z169" s="177"/>
      <c r="AA169" s="177"/>
    </row>
    <row r="170">
      <c r="B170" s="204" t="s">
        <v>1035</v>
      </c>
      <c r="C170" s="205" t="str">
        <f>HYPERLINK("https://docs.google.com/document/d/17tkcuA7AWgGEzDGpjEJ7ktPzbSr-D89MJZd-cXzSCuE/edit?ts=5cd6cc08#heading=h.6vw55il06vku","Refactor criterion.rb")</f>
        <v>Refactor criterion.rb</v>
      </c>
      <c r="D170" s="209" t="s">
        <v>1036</v>
      </c>
      <c r="E170" s="207" t="s">
        <v>1037</v>
      </c>
      <c r="F170" s="63" t="s">
        <v>18</v>
      </c>
      <c r="I170" s="63">
        <v>97.0</v>
      </c>
      <c r="J170" s="63">
        <v>94.0</v>
      </c>
      <c r="K170" s="141" t="s">
        <v>1038</v>
      </c>
      <c r="L170" s="208"/>
      <c r="M170" s="189" t="s">
        <v>1039</v>
      </c>
      <c r="N170" s="177"/>
      <c r="O170" s="177"/>
      <c r="P170" s="177"/>
      <c r="Q170" s="177"/>
      <c r="R170" s="177"/>
      <c r="S170" s="177"/>
      <c r="T170" s="177"/>
      <c r="U170" s="177"/>
      <c r="V170" s="177"/>
      <c r="W170" s="177"/>
      <c r="X170" s="177"/>
      <c r="Y170" s="177"/>
      <c r="Z170" s="177"/>
      <c r="AA170" s="177"/>
    </row>
    <row r="171">
      <c r="B171" s="204" t="s">
        <v>1040</v>
      </c>
      <c r="C171" s="205" t="str">
        <f>HYPERLINK("https://docs.google.com/document/d/17tkcuA7AWgGEzDGpjEJ7ktPzbSr-D89MJZd-cXzSCuE/edit?ts=5cd6cc08#heading=h.6vw55il06vku","Refactor assignments_controller.rb")</f>
        <v>Refactor assignments_controller.rb</v>
      </c>
      <c r="D171" s="209" t="s">
        <v>1041</v>
      </c>
      <c r="E171" s="207" t="s">
        <v>1042</v>
      </c>
      <c r="F171" s="198" t="s">
        <v>929</v>
      </c>
      <c r="G171" s="18">
        <v>2.0</v>
      </c>
      <c r="I171" s="63">
        <v>97.0</v>
      </c>
      <c r="J171" s="63">
        <v>95.0</v>
      </c>
      <c r="K171" s="141" t="s">
        <v>1043</v>
      </c>
      <c r="L171" s="208"/>
      <c r="M171" s="89" t="s">
        <v>1044</v>
      </c>
      <c r="N171" s="177"/>
      <c r="O171" s="177"/>
      <c r="P171" s="177"/>
      <c r="Q171" s="177"/>
      <c r="R171" s="177"/>
      <c r="S171" s="177"/>
      <c r="T171" s="177"/>
      <c r="U171" s="177"/>
      <c r="V171" s="177"/>
      <c r="W171" s="177"/>
      <c r="X171" s="177"/>
      <c r="Y171" s="177"/>
      <c r="Z171" s="177"/>
      <c r="AA171" s="177"/>
    </row>
    <row r="172">
      <c r="B172" s="204" t="s">
        <v>1045</v>
      </c>
      <c r="C172" s="205" t="str">
        <f>HYPERLINK("https://docs.google.com/document/d/17tkcuA7AWgGEzDGpjEJ7ktPzbSr-D89MJZd-cXzSCuE/edit?ts=5cd6cc08#heading=h.gi01pcj54n3o","Refactor review_mapping_controller.rb")</f>
        <v>Refactor review_mapping_controller.rb</v>
      </c>
      <c r="D172" s="209" t="s">
        <v>1046</v>
      </c>
      <c r="E172" s="207" t="s">
        <v>1047</v>
      </c>
      <c r="F172" s="133" t="s">
        <v>19</v>
      </c>
      <c r="G172" s="133" t="s">
        <v>19</v>
      </c>
      <c r="H172" s="18" t="s">
        <v>912</v>
      </c>
      <c r="I172" s="63">
        <v>92.0</v>
      </c>
      <c r="J172" s="63">
        <v>89.0</v>
      </c>
      <c r="K172" s="141" t="s">
        <v>1048</v>
      </c>
      <c r="L172" s="208"/>
      <c r="M172" s="89" t="s">
        <v>1049</v>
      </c>
      <c r="N172" s="177"/>
      <c r="O172" s="177"/>
      <c r="P172" s="177"/>
      <c r="Q172" s="177"/>
      <c r="R172" s="177"/>
      <c r="S172" s="177"/>
      <c r="T172" s="177"/>
      <c r="U172" s="177"/>
      <c r="V172" s="177"/>
      <c r="W172" s="177"/>
      <c r="X172" s="177"/>
      <c r="Y172" s="177"/>
      <c r="Z172" s="177"/>
      <c r="AA172" s="177"/>
    </row>
    <row r="173">
      <c r="B173" s="204" t="s">
        <v>1050</v>
      </c>
      <c r="C173" s="205" t="str">
        <f>HYPERLINK("https://docs.google.com/document/d/17tkcuA7AWgGEzDGpjEJ7ktPzbSr-D89MJZd-cXzSCuE/edit?ts=5cd6cc08#heading=h.gv0ewupd0y6i","Refactor sign_up_sheet_controller.rb")</f>
        <v>Refactor sign_up_sheet_controller.rb</v>
      </c>
      <c r="D173" s="209" t="s">
        <v>1051</v>
      </c>
      <c r="E173" s="207" t="s">
        <v>1052</v>
      </c>
      <c r="F173" s="133" t="s">
        <v>19</v>
      </c>
      <c r="G173" s="18" t="s">
        <v>19</v>
      </c>
      <c r="H173" s="18" t="s">
        <v>912</v>
      </c>
      <c r="I173" s="63">
        <v>89.0</v>
      </c>
      <c r="J173" s="63">
        <v>90.0</v>
      </c>
      <c r="K173" s="141" t="s">
        <v>1053</v>
      </c>
      <c r="L173" s="208"/>
      <c r="M173" s="89" t="s">
        <v>1054</v>
      </c>
      <c r="N173" s="177"/>
      <c r="O173" s="177"/>
      <c r="P173" s="177"/>
      <c r="Q173" s="177"/>
      <c r="R173" s="177"/>
      <c r="S173" s="177"/>
      <c r="T173" s="177"/>
      <c r="U173" s="177"/>
      <c r="V173" s="177"/>
      <c r="W173" s="177"/>
      <c r="X173" s="177"/>
      <c r="Y173" s="177"/>
      <c r="Z173" s="177"/>
      <c r="AA173" s="177"/>
    </row>
    <row r="174">
      <c r="B174" s="204" t="s">
        <v>1055</v>
      </c>
      <c r="C174" s="205" t="str">
        <f>HYPERLINK("https://docs.google.com/document/d/17tkcuA7AWgGEzDGpjEJ7ktPzbSr-D89MJZd-cXzSCuE/edit?ts=5cd6cc08#heading=h.lqmjd75kg1ow","Refactor and improve response_controller.rb")</f>
        <v>Refactor and improve response_controller.rb</v>
      </c>
      <c r="D174" s="209" t="s">
        <v>1056</v>
      </c>
      <c r="E174" s="207" t="s">
        <v>1057</v>
      </c>
      <c r="F174" s="63" t="s">
        <v>18</v>
      </c>
      <c r="I174" s="63">
        <v>94.0</v>
      </c>
      <c r="J174" s="63">
        <v>92.0</v>
      </c>
      <c r="K174" s="141" t="s">
        <v>1058</v>
      </c>
      <c r="L174" s="208"/>
      <c r="M174" s="89" t="s">
        <v>1059</v>
      </c>
      <c r="N174" s="177"/>
      <c r="O174" s="177"/>
      <c r="P174" s="177"/>
      <c r="Q174" s="177"/>
      <c r="R174" s="177"/>
      <c r="S174" s="177"/>
      <c r="T174" s="177"/>
      <c r="U174" s="177"/>
      <c r="V174" s="177"/>
      <c r="W174" s="177"/>
      <c r="X174" s="177"/>
      <c r="Y174" s="177"/>
      <c r="Z174" s="177"/>
      <c r="AA174" s="177"/>
    </row>
    <row r="175">
      <c r="B175" s="204" t="s">
        <v>1060</v>
      </c>
      <c r="C175" s="205" t="str">
        <f>HYPERLINK("https://docs.google.com/document/d/17tkcuA7AWgGEzDGpjEJ7ktPzbSr-D89MJZd-cXzSCuE/edit?ts=5cd6cc08#heading=h.20sthbiv7ea9","Refactor stage deadlines in assignment.rb")</f>
        <v>Refactor stage deadlines in assignment.rb</v>
      </c>
      <c r="D175" s="209" t="s">
        <v>1061</v>
      </c>
      <c r="E175" s="207" t="s">
        <v>1062</v>
      </c>
      <c r="F175" s="133" t="s">
        <v>19</v>
      </c>
      <c r="G175" s="18" t="s">
        <v>19</v>
      </c>
      <c r="H175" s="18" t="s">
        <v>912</v>
      </c>
      <c r="I175" s="63">
        <v>92.0</v>
      </c>
      <c r="J175" s="63">
        <v>100.0</v>
      </c>
      <c r="K175" s="141" t="s">
        <v>1063</v>
      </c>
      <c r="L175" s="208"/>
      <c r="M175" s="89" t="s">
        <v>1064</v>
      </c>
      <c r="N175" s="177"/>
      <c r="O175" s="177"/>
      <c r="P175" s="177"/>
      <c r="Q175" s="177"/>
      <c r="R175" s="177"/>
      <c r="S175" s="177"/>
      <c r="T175" s="177"/>
      <c r="U175" s="177"/>
      <c r="V175" s="177"/>
      <c r="W175" s="177"/>
      <c r="X175" s="177"/>
      <c r="Y175" s="177"/>
      <c r="Z175" s="177"/>
      <c r="AA175" s="177"/>
    </row>
    <row r="176">
      <c r="B176" s="204" t="s">
        <v>1065</v>
      </c>
      <c r="C176" s="205" t="str">
        <f>HYPERLINK("https://docs.google.com/document/d/17tkcuA7AWgGEzDGpjEJ7ktPzbSr-D89MJZd-cXzSCuE/edit?ts=5cd6cc08#heading=h.1yon0twojrj2","Refactor questionnaires_controller.rb")</f>
        <v>Refactor questionnaires_controller.rb</v>
      </c>
      <c r="D176" s="209" t="s">
        <v>1066</v>
      </c>
      <c r="E176" s="207" t="s">
        <v>1067</v>
      </c>
      <c r="F176" s="63" t="s">
        <v>18</v>
      </c>
      <c r="I176" s="63">
        <v>97.0</v>
      </c>
      <c r="J176" s="63">
        <v>93.0</v>
      </c>
      <c r="K176" s="141" t="s">
        <v>1068</v>
      </c>
      <c r="L176" s="208"/>
      <c r="M176" s="189" t="s">
        <v>1069</v>
      </c>
      <c r="N176" s="177"/>
      <c r="O176" s="177"/>
      <c r="P176" s="177"/>
      <c r="Q176" s="177"/>
      <c r="R176" s="177"/>
      <c r="S176" s="177"/>
      <c r="T176" s="177"/>
      <c r="U176" s="177"/>
      <c r="V176" s="177"/>
      <c r="W176" s="177"/>
      <c r="X176" s="177"/>
      <c r="Y176" s="177"/>
      <c r="Z176" s="177"/>
      <c r="AA176" s="177"/>
    </row>
    <row r="177">
      <c r="B177" s="204" t="s">
        <v>1070</v>
      </c>
      <c r="C177" s="205" t="str">
        <f>HYPERLINK("https://docs.google.com/document/d/17tkcuA7AWgGEzDGpjEJ7ktPzbSr-D89MJZd-cXzSCuE/edit?ts=5cd6cc08#heading=h.hr8l7r5asys8","Issues related to topic deadlines")</f>
        <v>Issues related to topic deadlines</v>
      </c>
      <c r="D177" s="209" t="s">
        <v>1071</v>
      </c>
      <c r="E177" s="216" t="s">
        <v>1072</v>
      </c>
      <c r="F177" s="63" t="s">
        <v>19</v>
      </c>
      <c r="G177" s="18" t="s">
        <v>19</v>
      </c>
      <c r="H177" s="18" t="s">
        <v>912</v>
      </c>
      <c r="I177" s="63">
        <v>85.0</v>
      </c>
      <c r="J177" s="63">
        <v>92.0</v>
      </c>
      <c r="K177" s="217" t="s">
        <v>1073</v>
      </c>
      <c r="L177" s="208"/>
      <c r="M177" s="9" t="s">
        <v>1074</v>
      </c>
      <c r="N177" s="177"/>
      <c r="O177" s="177"/>
      <c r="P177" s="177"/>
      <c r="Q177" s="177"/>
      <c r="R177" s="177"/>
      <c r="S177" s="177"/>
      <c r="T177" s="177"/>
      <c r="U177" s="177"/>
      <c r="V177" s="177"/>
      <c r="W177" s="177"/>
      <c r="X177" s="177"/>
      <c r="Y177" s="177"/>
      <c r="Z177" s="177"/>
      <c r="AA177" s="177"/>
    </row>
    <row r="178">
      <c r="B178" s="204" t="s">
        <v>1075</v>
      </c>
      <c r="C178" s="205" t="str">
        <f>HYPERLINK("https://docs.google.com/document/d/17tkcuA7AWgGEzDGpjEJ7ktPzbSr-D89MJZd-cXzSCuE/edit?ts=5cd6cc08#heading=h.rree7pkr7ox","Create quiz_questionnaires_controller.rb")</f>
        <v>Create quiz_questionnaires_controller.rb</v>
      </c>
      <c r="D178" s="209" t="s">
        <v>1076</v>
      </c>
      <c r="E178" s="207" t="s">
        <v>1077</v>
      </c>
      <c r="F178" s="198" t="s">
        <v>1078</v>
      </c>
      <c r="I178" s="63">
        <v>93.0</v>
      </c>
      <c r="J178" s="63">
        <v>96.0</v>
      </c>
      <c r="K178" s="141" t="s">
        <v>1079</v>
      </c>
      <c r="L178" s="208"/>
      <c r="M178" s="89" t="s">
        <v>1080</v>
      </c>
      <c r="N178" s="177"/>
      <c r="O178" s="177"/>
      <c r="P178" s="177"/>
      <c r="Q178" s="177"/>
      <c r="R178" s="177"/>
      <c r="S178" s="177"/>
      <c r="T178" s="177"/>
      <c r="U178" s="177"/>
      <c r="V178" s="177"/>
      <c r="W178" s="177"/>
      <c r="X178" s="177"/>
      <c r="Y178" s="177"/>
      <c r="Z178" s="177"/>
      <c r="AA178" s="177"/>
    </row>
    <row r="179">
      <c r="B179" s="204" t="s">
        <v>1081</v>
      </c>
      <c r="C179" s="205" t="str">
        <f>HYPERLINK("https://docs.google.com/document/d/17tkcuA7AWgGEzDGpjEJ7ktPzbSr-D89MJZd-cXzSCuE/edit?ts=5cd6cc08#heading=h.gotokttmnzv3","Improve e-mail notifications")</f>
        <v>Improve e-mail notifications</v>
      </c>
      <c r="D179" s="209" t="s">
        <v>1082</v>
      </c>
      <c r="E179" s="207" t="s">
        <v>1083</v>
      </c>
      <c r="F179" s="63" t="s">
        <v>19</v>
      </c>
      <c r="H179" s="18" t="s">
        <v>912</v>
      </c>
      <c r="I179" s="63">
        <v>82.0</v>
      </c>
      <c r="J179" s="63">
        <v>95.0</v>
      </c>
      <c r="K179" s="141" t="s">
        <v>1084</v>
      </c>
      <c r="L179" s="208"/>
      <c r="M179" s="89" t="s">
        <v>1085</v>
      </c>
    </row>
    <row r="180">
      <c r="B180" s="190" t="s">
        <v>1086</v>
      </c>
      <c r="C180" s="191" t="str">
        <f>HYPERLINK("https://docs.google.com/document/d/17tkcuA7AWgGEzDGpjEJ7ktPzbSr-D89MJZd-cXzSCuE/edit?ts=5cd6cc08#heading=h.j8f044rqy51w","OSS Project Juniper: Bookmark enhancements")</f>
        <v>OSS Project Juniper: Bookmark enhancements</v>
      </c>
      <c r="D180" s="218" t="s">
        <v>23</v>
      </c>
      <c r="E180" s="219"/>
      <c r="F180" s="220"/>
      <c r="G180" s="85"/>
      <c r="H180" s="80" t="s">
        <v>912</v>
      </c>
      <c r="I180" s="220"/>
      <c r="J180" s="220"/>
      <c r="K180" s="194"/>
      <c r="L180" s="221"/>
      <c r="M180" s="194"/>
    </row>
    <row r="181">
      <c r="B181" s="190" t="s">
        <v>1087</v>
      </c>
      <c r="C181" s="191" t="str">
        <f>HYPERLINK("https://docs.google.com/document/d/17tkcuA7AWgGEzDGpjEJ7ktPzbSr-D89MJZd-cXzSCuE/edit?ts=5cd6cc08#heading=h.frglu3vpm2c5","OSS project Duke Blue: Fix import glitches")</f>
        <v>OSS project Duke Blue: Fix import glitches</v>
      </c>
      <c r="D181" s="218" t="s">
        <v>23</v>
      </c>
      <c r="E181" s="219"/>
      <c r="F181" s="220"/>
      <c r="G181" s="85"/>
      <c r="H181" s="80" t="s">
        <v>912</v>
      </c>
      <c r="I181" s="220"/>
      <c r="J181" s="220"/>
      <c r="K181" s="194"/>
      <c r="L181" s="221"/>
      <c r="M181" s="194"/>
    </row>
    <row r="182">
      <c r="A182" s="222" t="s">
        <v>1088</v>
      </c>
      <c r="B182" s="223" t="s">
        <v>1089</v>
      </c>
      <c r="C182" s="224" t="str">
        <f>HYPERLINK("https://docs.google.com/document/d/1Br9hm-SWIvl5ibWSfRVjmiYTQl5j27l8slWhv2iUCqQ/edit?ts=5cd6cc67#heading=h.jttj57wqanq4","Student-generated questions added to rubric")</f>
        <v>Student-generated questions added to rubric</v>
      </c>
      <c r="D182" s="223" t="s">
        <v>1090</v>
      </c>
      <c r="E182" s="224" t="s">
        <v>1091</v>
      </c>
      <c r="F182" s="63" t="s">
        <v>911</v>
      </c>
      <c r="G182" s="18" t="s">
        <v>19</v>
      </c>
      <c r="I182" s="225">
        <v>88.0</v>
      </c>
      <c r="J182" s="225">
        <v>90.0</v>
      </c>
      <c r="K182" s="89" t="s">
        <v>1092</v>
      </c>
      <c r="L182" s="226"/>
      <c r="M182" s="89" t="s">
        <v>1093</v>
      </c>
    </row>
    <row r="183">
      <c r="B183" s="223" t="s">
        <v>1094</v>
      </c>
      <c r="C183" s="224" t="str">
        <f>HYPERLINK("https://docs.google.com/document/d/1Br9hm-SWIvl5ibWSfRVjmiYTQl5j27l8slWhv2iUCqQ/edit?ts=5cd6cc67#heading=h.islgteq6r2ta","Integrate Suggestion Detection Algorithm")</f>
        <v>Integrate Suggestion Detection Algorithm</v>
      </c>
      <c r="D183" s="223" t="s">
        <v>1095</v>
      </c>
      <c r="E183" s="224" t="s">
        <v>1096</v>
      </c>
      <c r="F183" s="105"/>
      <c r="G183" s="18" t="s">
        <v>19</v>
      </c>
      <c r="I183" s="225">
        <v>94.0</v>
      </c>
      <c r="J183" s="225">
        <v>91.0</v>
      </c>
      <c r="K183" s="89" t="s">
        <v>1097</v>
      </c>
      <c r="L183" s="226"/>
      <c r="M183" s="89" t="s">
        <v>1098</v>
      </c>
    </row>
    <row r="184">
      <c r="B184" s="223" t="s">
        <v>1099</v>
      </c>
      <c r="C184" s="224" t="str">
        <f>HYPERLINK("https://docs.google.com/document/d/1Br9hm-SWIvl5ibWSfRVjmiYTQl5j27l8slWhv2iUCqQ/edit?ts=5cd6cc67#heading=h.o4l8hby4dy3i","Sort instructor reports by name, ID, score, etc.")</f>
        <v>Sort instructor reports by name, ID, score, etc.</v>
      </c>
      <c r="D184" s="223" t="s">
        <v>1100</v>
      </c>
      <c r="E184" s="227" t="s">
        <v>1101</v>
      </c>
      <c r="F184" s="63" t="s">
        <v>1102</v>
      </c>
      <c r="G184" s="18" t="s">
        <v>19</v>
      </c>
      <c r="I184" s="225">
        <v>97.0</v>
      </c>
      <c r="J184" s="225">
        <v>97.0</v>
      </c>
      <c r="K184" s="89" t="s">
        <v>1103</v>
      </c>
      <c r="L184" s="226"/>
      <c r="M184" s="89" t="s">
        <v>1104</v>
      </c>
    </row>
    <row r="185">
      <c r="B185" s="223" t="s">
        <v>1105</v>
      </c>
      <c r="C185" s="224" t="str">
        <f>HYPERLINK("https://docs.google.com/document/d/1Br9hm-SWIvl5ibWSfRVjmiYTQl5j27l8slWhv2iUCqQ/edit?ts=5cd6cc67#heading=h.4ftsppdzali","Completion/progress view")</f>
        <v>Completion/progress view</v>
      </c>
      <c r="D185" s="223" t="s">
        <v>1106</v>
      </c>
      <c r="E185" s="227" t="s">
        <v>1107</v>
      </c>
      <c r="F185" s="63" t="s">
        <v>911</v>
      </c>
      <c r="G185" s="18" t="s">
        <v>19</v>
      </c>
      <c r="I185" s="225">
        <v>94.0</v>
      </c>
      <c r="J185" s="225">
        <v>97.0</v>
      </c>
      <c r="K185" s="89" t="s">
        <v>1108</v>
      </c>
      <c r="L185" s="226"/>
      <c r="M185" s="89" t="s">
        <v>1109</v>
      </c>
    </row>
    <row r="186">
      <c r="B186" s="223" t="s">
        <v>1110</v>
      </c>
      <c r="C186" s="224" t="str">
        <f>HYPERLINK("https://docs.google.com/document/d/1Br9hm-SWIvl5ibWSfRVjmiYTQl5j27l8slWhv2iUCqQ/edit?ts=5cd6cc67#heading=h.mwux8o75gaqa","Revision planning tool")</f>
        <v>Revision planning tool</v>
      </c>
      <c r="D186" s="223" t="s">
        <v>1111</v>
      </c>
      <c r="E186" s="227" t="s">
        <v>1112</v>
      </c>
      <c r="F186" s="105"/>
      <c r="G186" s="18" t="s">
        <v>19</v>
      </c>
      <c r="I186" s="225">
        <v>95.0</v>
      </c>
      <c r="J186" s="225">
        <v>90.0</v>
      </c>
      <c r="K186" s="89" t="s">
        <v>1113</v>
      </c>
      <c r="L186" s="226"/>
      <c r="M186" s="89" t="s">
        <v>1114</v>
      </c>
    </row>
    <row r="187">
      <c r="B187" s="228" t="s">
        <v>1115</v>
      </c>
      <c r="C187" s="229" t="str">
        <f>HYPERLINK("https://docs.google.com/document/d/1Br9hm-SWIvl5ibWSfRVjmiYTQl5j27l8slWhv2iUCqQ/edit?ts=5cd6cc67#heading=h.bm6nixid0uq8","Re-implement import and export, based on tables")</f>
        <v>Re-implement import and export, based on tables</v>
      </c>
      <c r="D187" s="228" t="s">
        <v>23</v>
      </c>
      <c r="E187" s="230"/>
      <c r="F187" s="220"/>
      <c r="G187" s="80" t="s">
        <v>19</v>
      </c>
      <c r="H187" s="85"/>
      <c r="I187" s="231"/>
      <c r="J187" s="231"/>
      <c r="K187" s="194"/>
      <c r="L187" s="195"/>
      <c r="M187" s="194"/>
    </row>
    <row r="188">
      <c r="B188" s="223" t="s">
        <v>1116</v>
      </c>
      <c r="C188" s="224" t="str">
        <f>HYPERLINK("https://docs.google.com/document/d/1Br9hm-SWIvl5ibWSfRVjmiYTQl5j27l8slWhv2iUCqQ/edit?ts=5cd6cc67#heading=h.v418sotq8wu6","Specialized rubrics for different topic types (e.g., Servo project, refactoring project)")</f>
        <v>Specialized rubrics for different topic types (e.g., Servo project, refactoring project)</v>
      </c>
      <c r="D188" s="223" t="s">
        <v>1117</v>
      </c>
      <c r="E188" s="227" t="s">
        <v>1118</v>
      </c>
      <c r="F188" s="105"/>
      <c r="I188" s="225">
        <v>88.0</v>
      </c>
      <c r="J188" s="225">
        <v>92.0</v>
      </c>
      <c r="K188" s="89" t="s">
        <v>1119</v>
      </c>
      <c r="L188" s="226"/>
      <c r="M188" s="89" t="s">
        <v>1120</v>
      </c>
    </row>
    <row r="189">
      <c r="B189" s="223" t="s">
        <v>1121</v>
      </c>
      <c r="C189" s="224" t="str">
        <f>HYPERLINK("https://docs.google.com/document/d/1Br9hm-SWIvl5ibWSfRVjmiYTQl5j27l8slWhv2iUCqQ/edit?ts=5cd6cc67#heading=h.4hkj05u49g8e","Track the time students look at other submissions")</f>
        <v>Track the time students look at other submissions</v>
      </c>
      <c r="D189" s="223" t="s">
        <v>1122</v>
      </c>
      <c r="E189" s="224" t="s">
        <v>1123</v>
      </c>
      <c r="F189" s="105"/>
      <c r="G189" s="18" t="s">
        <v>19</v>
      </c>
      <c r="I189" s="225">
        <v>88.0</v>
      </c>
      <c r="J189" s="225">
        <v>96.0</v>
      </c>
      <c r="K189" s="89" t="s">
        <v>1124</v>
      </c>
      <c r="L189" s="226"/>
      <c r="M189" s="89" t="s">
        <v>1125</v>
      </c>
    </row>
    <row r="190">
      <c r="B190" s="223" t="s">
        <v>1126</v>
      </c>
      <c r="C190" s="224" t="str">
        <f>HYPERLINK("https://docs.google.com/document/d/1Br9hm-SWIvl5ibWSfRVjmiYTQl5j27l8slWhv2iUCqQ/edit?ts=5cd6cc67#heading=h.kq0pdu809doy","Grade summary by student")</f>
        <v>Grade summary by student</v>
      </c>
      <c r="D190" s="223" t="s">
        <v>1127</v>
      </c>
      <c r="E190" s="227" t="s">
        <v>1128</v>
      </c>
      <c r="F190" s="63" t="s">
        <v>18</v>
      </c>
      <c r="I190" s="225">
        <v>97.0</v>
      </c>
      <c r="J190" s="225">
        <v>93.0</v>
      </c>
      <c r="K190" s="89" t="s">
        <v>1129</v>
      </c>
      <c r="L190" s="226"/>
      <c r="M190" s="89" t="s">
        <v>1130</v>
      </c>
    </row>
    <row r="191">
      <c r="B191" s="223" t="s">
        <v>1131</v>
      </c>
      <c r="C191" s="224" t="str">
        <f>HYPERLINK("https://docs.google.com/document/d/1Br9hm-SWIvl5ibWSfRVjmiYTQl5j27l8slWhv2iUCqQ/edit?ts=5cd6cc67#heading=h.654oe3xw5p73","Warn of deadlines and enforce them")</f>
        <v>Warn of deadlines and enforce them</v>
      </c>
      <c r="D191" s="223" t="s">
        <v>1132</v>
      </c>
      <c r="E191" s="224" t="s">
        <v>1133</v>
      </c>
      <c r="F191" s="63" t="s">
        <v>1134</v>
      </c>
      <c r="I191" s="225">
        <v>94.0</v>
      </c>
      <c r="J191" s="225">
        <v>94.0</v>
      </c>
      <c r="K191" s="89" t="s">
        <v>1135</v>
      </c>
      <c r="L191" s="226"/>
      <c r="M191" s="89" t="s">
        <v>1136</v>
      </c>
    </row>
    <row r="192">
      <c r="B192" s="223" t="s">
        <v>1137</v>
      </c>
      <c r="C192" s="224" t="str">
        <f>HYPERLINK("https://docs.google.com/document/d/1Br9hm-SWIvl5ibWSfRVjmiYTQl5j27l8slWhv2iUCqQ/edit?ts=5cd6cc67#heading=h.j5o7l6hc99mq","Grading audit trail")</f>
        <v>Grading audit trail</v>
      </c>
      <c r="D192" s="223" t="s">
        <v>1138</v>
      </c>
      <c r="E192" s="224" t="s">
        <v>1139</v>
      </c>
      <c r="F192" s="105"/>
      <c r="I192" s="225" t="s">
        <v>1140</v>
      </c>
      <c r="J192" s="225">
        <v>89.0</v>
      </c>
      <c r="K192" s="89" t="s">
        <v>1141</v>
      </c>
      <c r="L192" s="226"/>
      <c r="M192" s="89" t="s">
        <v>1142</v>
      </c>
    </row>
    <row r="193">
      <c r="B193" s="223" t="s">
        <v>1143</v>
      </c>
      <c r="C193" s="224" t="str">
        <f>HYPERLINK("https://docs.google.com/document/d/1Br9hm-SWIvl5ibWSfRVjmiYTQl5j27l8slWhv2iUCqQ/edit?ts=5cd6cc67#heading=h.aslqzvo7khdf","Remove reports from review_mapping_controller.rb")</f>
        <v>Remove reports from review_mapping_controller.rb</v>
      </c>
      <c r="D193" s="223" t="s">
        <v>1144</v>
      </c>
      <c r="E193" s="224" t="s">
        <v>1145</v>
      </c>
      <c r="F193" s="63" t="s">
        <v>18</v>
      </c>
      <c r="I193" s="225">
        <v>97.0</v>
      </c>
      <c r="J193" s="225">
        <v>95.0</v>
      </c>
      <c r="K193" s="89" t="s">
        <v>1146</v>
      </c>
      <c r="L193" s="226"/>
      <c r="M193" s="89" t="s">
        <v>1147</v>
      </c>
    </row>
    <row r="194">
      <c r="B194" s="223" t="s">
        <v>1148</v>
      </c>
      <c r="C194" s="224" t="str">
        <f>HYPERLINK("https://docs.google.com/document/d/1Br9hm-SWIvl5ibWSfRVjmiYTQl5j27l8slWhv2iUCqQ/edit?ts=5cd6cc67#heading=h.plfx52wxdrjz","Allow reviewer to say review can be shown to class as an example")</f>
        <v>Allow reviewer to say review can be shown to class as an example</v>
      </c>
      <c r="D194" s="223" t="s">
        <v>1149</v>
      </c>
      <c r="E194" s="224" t="s">
        <v>1150</v>
      </c>
      <c r="F194" s="105"/>
      <c r="I194" s="225" t="s">
        <v>1151</v>
      </c>
      <c r="J194" s="225">
        <v>94.0</v>
      </c>
      <c r="K194" s="89" t="s">
        <v>1152</v>
      </c>
      <c r="L194" s="226"/>
      <c r="M194" s="89" t="s">
        <v>1153</v>
      </c>
    </row>
    <row r="195">
      <c r="B195" s="223" t="s">
        <v>1154</v>
      </c>
      <c r="C195" s="224" t="str">
        <f>HYPERLINK("https://docs.google.com/document/d/1Br9hm-SWIvl5ibWSfRVjmiYTQl5j27l8slWhv2iUCqQ/edit?ts=5cd6cc67#heading=h.dgcq94e0962y","Expertiza Internationalization")</f>
        <v>Expertiza Internationalization</v>
      </c>
      <c r="D195" s="223" t="s">
        <v>1155</v>
      </c>
      <c r="E195" s="224" t="s">
        <v>1156</v>
      </c>
      <c r="F195" s="63"/>
      <c r="I195" s="225">
        <v>96.0</v>
      </c>
      <c r="J195" s="225">
        <v>98.0</v>
      </c>
      <c r="K195" s="89" t="s">
        <v>1157</v>
      </c>
      <c r="L195" s="226"/>
      <c r="M195" s="89" t="s">
        <v>1158</v>
      </c>
    </row>
    <row r="196">
      <c r="B196" s="223" t="s">
        <v>1159</v>
      </c>
      <c r="C196" s="224" t="str">
        <f>HYPERLINK("https://docs.google.com/document/d/1Br9hm-SWIvl5ibWSfRVjmiYTQl5j27l8slWhv2iUCqQ/edit?ts=5cd6cc67#heading=h.o57p2ve4qtnx","Conflict Notification")</f>
        <v>Conflict Notification</v>
      </c>
      <c r="D196" s="223" t="s">
        <v>1160</v>
      </c>
      <c r="E196" s="224" t="s">
        <v>1161</v>
      </c>
      <c r="F196" s="105"/>
      <c r="I196" s="225">
        <v>92.0</v>
      </c>
      <c r="J196" s="225">
        <v>93.0</v>
      </c>
      <c r="K196" s="89" t="s">
        <v>1162</v>
      </c>
      <c r="L196" s="226"/>
      <c r="M196" s="89" t="s">
        <v>1163</v>
      </c>
    </row>
    <row r="197">
      <c r="B197" s="223" t="s">
        <v>1164</v>
      </c>
      <c r="C197" s="224" t="str">
        <f>HYPERLINK("https://docs.google.com/document/d/1Br9hm-SWIvl5ibWSfRVjmiYTQl5j27l8slWhv2iUCqQ/edit?ts=5cd6cc67#heading=h.o73btntxljh7","Issues Related to Reviewing")</f>
        <v>Issues Related to Reviewing</v>
      </c>
      <c r="D197" s="223" t="s">
        <v>1165</v>
      </c>
      <c r="E197" s="224" t="s">
        <v>1166</v>
      </c>
      <c r="F197" s="63" t="s">
        <v>1167</v>
      </c>
      <c r="I197" s="225">
        <v>94.0</v>
      </c>
      <c r="J197" s="225">
        <v>92.0</v>
      </c>
      <c r="K197" s="89" t="s">
        <v>1168</v>
      </c>
      <c r="L197" s="226"/>
      <c r="M197" s="89" t="s">
        <v>1169</v>
      </c>
    </row>
    <row r="198">
      <c r="B198" s="223" t="s">
        <v>1170</v>
      </c>
      <c r="C198" s="224" t="str">
        <f>HYPERLINK("https://docs.google.com/document/d/1Br9hm-SWIvl5ibWSfRVjmiYTQl5j27l8slWhv2iUCqQ/edit?ts=5cd6cc67#heading=h.lvw1l944dpet","Issues Related to Assignment Creation")</f>
        <v>Issues Related to Assignment Creation</v>
      </c>
      <c r="D198" s="223" t="s">
        <v>1171</v>
      </c>
      <c r="E198" s="224" t="s">
        <v>1172</v>
      </c>
      <c r="F198" s="63" t="s">
        <v>1102</v>
      </c>
      <c r="I198" s="225">
        <v>97.0</v>
      </c>
      <c r="J198" s="225">
        <v>96.0</v>
      </c>
      <c r="K198" s="89" t="s">
        <v>1173</v>
      </c>
      <c r="L198" s="226"/>
      <c r="M198" s="89" t="s">
        <v>1174</v>
      </c>
    </row>
    <row r="199">
      <c r="B199" s="228" t="s">
        <v>1175</v>
      </c>
      <c r="C199" s="229" t="str">
        <f>HYPERLINK("https://docs.google.com/document/d/1Br9hm-SWIvl5ibWSfRVjmiYTQl5j27l8slWhv2iUCqQ/edit?ts=5cd6cc67#heading=h.zayjtou4cwdz","Generalize review versioning")</f>
        <v>Generalize review versioning</v>
      </c>
      <c r="D199" s="228" t="s">
        <v>23</v>
      </c>
      <c r="E199" s="232"/>
      <c r="F199" s="81" t="s">
        <v>1176</v>
      </c>
      <c r="G199" s="85"/>
      <c r="H199" s="85"/>
      <c r="I199" s="231"/>
      <c r="J199" s="231"/>
      <c r="K199" s="194"/>
      <c r="L199" s="195"/>
      <c r="M199" s="194"/>
    </row>
    <row r="200">
      <c r="B200" s="223" t="s">
        <v>1177</v>
      </c>
      <c r="C200" s="224" t="str">
        <f>HYPERLINK("https://docs.google.com/document/d/1Br9hm-SWIvl5ibWSfRVjmiYTQl5j27l8slWhv2iUCqQ/edit?ts=5cd6cc67#heading=h.d5uh8skc9rn8","Improving search facility in Expertiza")</f>
        <v>Improving search facility in Expertiza</v>
      </c>
      <c r="D200" s="223" t="s">
        <v>1178</v>
      </c>
      <c r="E200" s="224" t="s">
        <v>1179</v>
      </c>
      <c r="F200" s="105"/>
      <c r="I200" s="225">
        <v>94.0</v>
      </c>
      <c r="J200" s="225">
        <v>99.0</v>
      </c>
      <c r="K200" s="89" t="s">
        <v>1180</v>
      </c>
      <c r="L200" s="226"/>
      <c r="M200" s="89" t="s">
        <v>1181</v>
      </c>
    </row>
    <row r="201">
      <c r="B201" s="223" t="s">
        <v>1182</v>
      </c>
      <c r="C201" s="224" t="str">
        <f>HYPERLINK("https://docs.google.com/document/d/1Br9hm-SWIvl5ibWSfRVjmiYTQl5j27l8slWhv2iUCqQ/edit?ts=5cd6cc67#heading=h.4pks2ix9cs2x","Improvements to staggered-deadline assignments")</f>
        <v>Improvements to staggered-deadline assignments</v>
      </c>
      <c r="D201" s="223" t="s">
        <v>1183</v>
      </c>
      <c r="E201" s="227" t="s">
        <v>1184</v>
      </c>
      <c r="F201" s="63" t="s">
        <v>18</v>
      </c>
      <c r="I201" s="225">
        <v>98.0</v>
      </c>
      <c r="J201" s="225">
        <v>97.0</v>
      </c>
      <c r="K201" s="89" t="s">
        <v>1185</v>
      </c>
      <c r="L201" s="226"/>
      <c r="M201" s="89" t="s">
        <v>1186</v>
      </c>
    </row>
    <row r="202">
      <c r="B202" s="223" t="s">
        <v>1187</v>
      </c>
      <c r="C202" s="224" t="str">
        <f>HYPERLINK("https://docs.google.com/document/d/1Br9hm-SWIvl5ibWSfRVjmiYTQl5j27l8slWhv2iUCqQ/edit?ts=5cd6cc67#heading=h.5kwrelqdnewh","Visualizations for instructors")</f>
        <v>Visualizations for instructors</v>
      </c>
      <c r="D202" s="223" t="s">
        <v>1188</v>
      </c>
      <c r="E202" s="224" t="s">
        <v>1189</v>
      </c>
      <c r="F202" s="105"/>
      <c r="I202" s="225">
        <v>93.0</v>
      </c>
      <c r="J202" s="225">
        <v>92.0</v>
      </c>
      <c r="K202" s="89" t="s">
        <v>1190</v>
      </c>
      <c r="L202" s="226"/>
      <c r="M202" s="89" t="s">
        <v>1191</v>
      </c>
    </row>
    <row r="203">
      <c r="B203" s="223" t="s">
        <v>1192</v>
      </c>
      <c r="C203" s="224" t="str">
        <f>HYPERLINK("https://docs.google.com/document/d/1Br9hm-SWIvl5ibWSfRVjmiYTQl5j27l8slWhv2iUCqQ/edit?ts=5cd6cc67#heading=h.ugozkqswqg6a","Github metrics integration")</f>
        <v>Github metrics integration</v>
      </c>
      <c r="D203" s="223" t="s">
        <v>1193</v>
      </c>
      <c r="E203" s="227" t="s">
        <v>1194</v>
      </c>
      <c r="F203" s="63"/>
      <c r="I203" s="225">
        <v>96.0</v>
      </c>
      <c r="J203" s="225">
        <v>92.0</v>
      </c>
      <c r="K203" s="89" t="s">
        <v>1195</v>
      </c>
      <c r="L203" s="226"/>
      <c r="M203" s="89" t="s">
        <v>1196</v>
      </c>
    </row>
    <row r="204">
      <c r="B204" s="228" t="s">
        <v>1197</v>
      </c>
      <c r="C204" s="229" t="str">
        <f>HYPERLINK("https://docs.google.com/document/d/1Br9hm-SWIvl5ibWSfRVjmiYTQl5j27l8slWhv2iUCqQ/edit?ts=5cd6cc67#heading=h.osl3s42v1lv","Allow users to create an account and submit work to an ""assignment"" (e.g., for conference reviewing)")</f>
        <v>Allow users to create an account and submit work to an "assignment" (e.g., for conference reviewing)</v>
      </c>
      <c r="D204" s="228" t="s">
        <v>23</v>
      </c>
      <c r="E204" s="232"/>
      <c r="F204" s="81" t="s">
        <v>911</v>
      </c>
      <c r="G204" s="85"/>
      <c r="H204" s="85"/>
      <c r="I204" s="231"/>
      <c r="J204" s="231"/>
      <c r="K204" s="194"/>
      <c r="L204" s="195"/>
      <c r="M204" s="194"/>
    </row>
    <row r="205">
      <c r="B205" s="223" t="s">
        <v>1198</v>
      </c>
      <c r="C205" s="224" t="str">
        <f>HYPERLINK("https://docs.google.com/document/d/1Br9hm-SWIvl5ibWSfRVjmiYTQl5j27l8slWhv2iUCqQ/edit?ts=5cd6cc67#heading=h.2m8hg8h44lfi","Allow reviewers to bid on what to review")</f>
        <v>Allow reviewers to bid on what to review</v>
      </c>
      <c r="D205" s="223" t="s">
        <v>1199</v>
      </c>
      <c r="E205" s="224" t="s">
        <v>1200</v>
      </c>
      <c r="F205" s="105"/>
      <c r="I205" s="225">
        <v>93.0</v>
      </c>
      <c r="J205" s="225">
        <v>91.0</v>
      </c>
      <c r="K205" s="89" t="s">
        <v>1201</v>
      </c>
      <c r="L205" s="226"/>
      <c r="M205" s="89" t="s">
        <v>1202</v>
      </c>
    </row>
    <row r="206">
      <c r="B206" s="223" t="s">
        <v>1203</v>
      </c>
      <c r="C206" s="224" t="str">
        <f>HYPERLINK("https://docs.google.com/document/d/1Br9hm-SWIvl5ibWSfRVjmiYTQl5j27l8slWhv2iUCqQ/edit?ts=5cd6cc67#heading=h.bumi2mscmmgf","Let course staff as well as students do reviews")</f>
        <v>Let course staff as well as students do reviews</v>
      </c>
      <c r="D206" s="223" t="s">
        <v>1204</v>
      </c>
      <c r="E206" s="224" t="s">
        <v>1205</v>
      </c>
      <c r="F206" s="105"/>
      <c r="I206" s="225">
        <v>92.0</v>
      </c>
      <c r="J206" s="225">
        <v>95.0</v>
      </c>
      <c r="K206" s="233" t="s">
        <v>1206</v>
      </c>
      <c r="L206" s="226"/>
      <c r="M206" s="89" t="s">
        <v>1207</v>
      </c>
    </row>
    <row r="207">
      <c r="B207" s="223" t="s">
        <v>1208</v>
      </c>
      <c r="C207" s="224" t="str">
        <f>HYPERLINK("https://docs.google.com/document/d/1Br9hm-SWIvl5ibWSfRVjmiYTQl5j27l8slWhv2iUCqQ/edit?ts=5cd6cc67#heading=h.jz9cgzqrt9zb","Improve self-review Link peer review &amp; self-review to derive grades")</f>
        <v>Improve self-review Link peer review &amp; self-review to derive grades</v>
      </c>
      <c r="D207" s="223" t="s">
        <v>1209</v>
      </c>
      <c r="E207" s="224" t="s">
        <v>1210</v>
      </c>
      <c r="F207" s="105"/>
      <c r="I207" s="225">
        <v>94.0</v>
      </c>
      <c r="J207" s="225">
        <v>90.0</v>
      </c>
      <c r="K207" s="171" t="s">
        <v>1211</v>
      </c>
      <c r="L207" s="226"/>
      <c r="M207" s="89" t="s">
        <v>1212</v>
      </c>
    </row>
    <row r="208">
      <c r="A208" s="93" t="s">
        <v>1213</v>
      </c>
      <c r="B208" s="234" t="s">
        <v>1214</v>
      </c>
      <c r="C208" s="235" t="str">
        <f t="shared" ref="C208:C210" si="1">HYPERLINK("https://docs.google.com/document/d/1A-zWIrZHSLMYZX7W17zNQk3uH3LXQ9o-651SBFlxfMg/edit?ts=5cd6cbf2#","Write unit tests for menu.rb")</f>
        <v>Write unit tests for menu.rb</v>
      </c>
      <c r="D208" s="236" t="s">
        <v>1215</v>
      </c>
      <c r="E208" s="237" t="s">
        <v>1216</v>
      </c>
      <c r="F208" s="63"/>
      <c r="I208" s="238">
        <v>99.0</v>
      </c>
      <c r="J208" s="63">
        <v>97.0</v>
      </c>
      <c r="K208" s="41" t="s">
        <v>1217</v>
      </c>
      <c r="L208" s="239"/>
      <c r="M208" s="240" t="s">
        <v>1218</v>
      </c>
    </row>
    <row r="209">
      <c r="B209" s="234" t="s">
        <v>1219</v>
      </c>
      <c r="C209" s="235" t="str">
        <f t="shared" si="1"/>
        <v>Write unit tests for menu.rb</v>
      </c>
      <c r="D209" s="236" t="s">
        <v>1220</v>
      </c>
      <c r="E209" s="241" t="s">
        <v>1221</v>
      </c>
      <c r="F209" s="63"/>
      <c r="I209" s="238">
        <v>96.0</v>
      </c>
      <c r="J209" s="89">
        <v>97.0</v>
      </c>
      <c r="K209" s="41" t="s">
        <v>1222</v>
      </c>
      <c r="L209" s="239"/>
      <c r="M209" s="39" t="s">
        <v>1223</v>
      </c>
    </row>
    <row r="210">
      <c r="B210" s="234" t="s">
        <v>1224</v>
      </c>
      <c r="C210" s="235" t="str">
        <f t="shared" si="1"/>
        <v>Write unit tests for menu.rb</v>
      </c>
      <c r="D210" s="236" t="s">
        <v>1225</v>
      </c>
      <c r="E210" s="241" t="s">
        <v>1226</v>
      </c>
      <c r="F210" s="63"/>
      <c r="I210" s="63">
        <v>93.0</v>
      </c>
      <c r="J210" s="63">
        <v>97.0</v>
      </c>
      <c r="K210" s="41" t="s">
        <v>1227</v>
      </c>
      <c r="L210" s="239"/>
      <c r="M210" s="39" t="s">
        <v>1228</v>
      </c>
    </row>
    <row r="211">
      <c r="B211" s="234" t="s">
        <v>1229</v>
      </c>
      <c r="C211" s="235" t="str">
        <f t="shared" ref="C211:C213" si="2">HYPERLINK("https://docs.google.com/document/d/1A-zWIrZHSLMYZX7W17zNQk3uH3LXQ9o-651SBFlxfMg/edit?ts=5cd6cbf2#","Write unit tests for participant.rb")</f>
        <v>Write unit tests for participant.rb</v>
      </c>
      <c r="D211" s="242" t="s">
        <v>1230</v>
      </c>
      <c r="E211" s="237" t="s">
        <v>1231</v>
      </c>
      <c r="F211" s="63"/>
      <c r="I211" s="63"/>
      <c r="J211" s="63"/>
      <c r="K211" s="156" t="s">
        <v>1227</v>
      </c>
      <c r="L211" s="239"/>
      <c r="M211" s="89" t="s">
        <v>1228</v>
      </c>
    </row>
    <row r="212">
      <c r="B212" s="234" t="s">
        <v>1232</v>
      </c>
      <c r="C212" s="235" t="str">
        <f t="shared" si="2"/>
        <v>Write unit tests for participant.rb</v>
      </c>
      <c r="D212" s="236" t="s">
        <v>1233</v>
      </c>
      <c r="E212" s="243" t="s">
        <v>1234</v>
      </c>
      <c r="F212" s="63"/>
      <c r="I212" s="63"/>
      <c r="J212" s="63"/>
      <c r="K212" s="156" t="s">
        <v>1235</v>
      </c>
      <c r="L212" s="239"/>
      <c r="M212" s="89" t="s">
        <v>1236</v>
      </c>
    </row>
    <row r="213">
      <c r="B213" s="234" t="s">
        <v>1237</v>
      </c>
      <c r="C213" s="235" t="str">
        <f t="shared" si="2"/>
        <v>Write unit tests for participant.rb</v>
      </c>
      <c r="D213" s="236" t="s">
        <v>1238</v>
      </c>
      <c r="E213" s="243" t="s">
        <v>1239</v>
      </c>
      <c r="F213" s="63"/>
      <c r="I213" s="63"/>
      <c r="J213" s="63"/>
      <c r="K213" s="156" t="s">
        <v>1240</v>
      </c>
      <c r="L213" s="239"/>
      <c r="M213" s="89" t="s">
        <v>1241</v>
      </c>
    </row>
    <row r="214">
      <c r="B214" s="190" t="s">
        <v>1242</v>
      </c>
      <c r="C214" s="191" t="str">
        <f>HYPERLINK("https://docs.google.com/document/d/1A-zWIrZHSLMYZX7W17zNQk3uH3LXQ9o-651SBFlxfMg/edit?ts=5cd6cbf2#","Write unit tests for student_task.rb")</f>
        <v>Write unit tests for student_task.rb</v>
      </c>
      <c r="D214" s="221"/>
      <c r="E214" s="219"/>
      <c r="F214" s="220"/>
      <c r="G214" s="85"/>
      <c r="H214" s="80" t="s">
        <v>912</v>
      </c>
      <c r="I214" s="220"/>
      <c r="J214" s="220"/>
      <c r="K214" s="194"/>
      <c r="L214" s="221"/>
      <c r="M214" s="194"/>
    </row>
    <row r="215">
      <c r="B215" s="234" t="s">
        <v>1243</v>
      </c>
      <c r="C215" s="235" t="str">
        <f t="shared" ref="C215:C217" si="3">HYPERLINK("https://docs.google.com/document/d/1A-zWIrZHSLMYZX7W17zNQk3uH3LXQ9o-651SBFlxfMg/edit?ts=5cd6cbf2#heading=h.dgcq94e0962y","Write unit tests for review_response_map.rb")</f>
        <v>Write unit tests for review_response_map.rb</v>
      </c>
      <c r="D215" s="242" t="s">
        <v>1244</v>
      </c>
      <c r="E215" s="241" t="s">
        <v>1245</v>
      </c>
      <c r="F215" s="63" t="s">
        <v>1246</v>
      </c>
      <c r="I215" s="63" t="s">
        <v>1247</v>
      </c>
      <c r="J215" s="63" t="s">
        <v>1248</v>
      </c>
      <c r="K215" s="156" t="s">
        <v>1249</v>
      </c>
      <c r="L215" s="239"/>
      <c r="M215" s="201" t="s">
        <v>1250</v>
      </c>
    </row>
    <row r="216">
      <c r="B216" s="234" t="s">
        <v>1251</v>
      </c>
      <c r="C216" s="235" t="str">
        <f t="shared" si="3"/>
        <v>Write unit tests for review_response_map.rb</v>
      </c>
      <c r="D216" s="242" t="s">
        <v>1252</v>
      </c>
      <c r="E216" s="241" t="s">
        <v>1253</v>
      </c>
      <c r="F216" s="63"/>
      <c r="I216" s="63"/>
      <c r="J216" s="63"/>
      <c r="K216" s="156" t="s">
        <v>1254</v>
      </c>
      <c r="L216" s="239"/>
      <c r="M216" s="89" t="s">
        <v>1255</v>
      </c>
    </row>
    <row r="217">
      <c r="B217" s="234" t="s">
        <v>1256</v>
      </c>
      <c r="C217" s="235" t="str">
        <f t="shared" si="3"/>
        <v>Write unit tests for review_response_map.rb</v>
      </c>
      <c r="D217" s="242" t="s">
        <v>1257</v>
      </c>
      <c r="E217" s="244" t="s">
        <v>1258</v>
      </c>
      <c r="F217" s="63"/>
      <c r="I217" s="63"/>
      <c r="J217" s="63"/>
      <c r="K217" s="156" t="s">
        <v>1259</v>
      </c>
      <c r="L217" s="239"/>
      <c r="M217" s="89" t="s">
        <v>1260</v>
      </c>
    </row>
    <row r="218">
      <c r="B218" s="234" t="s">
        <v>1261</v>
      </c>
      <c r="C218" s="235" t="str">
        <f>HYPERLINK("https://docs.google.com/document/d/1A-zWIrZHSLMYZX7W17zNQk3uH3LXQ9o-651SBFlxfMg/edit?ts=5cd6cbf2#heading=h.24ui5lxw23mp","Write unit tests for vm_question_response.rb")</f>
        <v>Write unit tests for vm_question_response.rb</v>
      </c>
      <c r="D218" s="242"/>
      <c r="E218" s="241" t="s">
        <v>1262</v>
      </c>
      <c r="F218" s="63" t="s">
        <v>1263</v>
      </c>
      <c r="I218" s="63"/>
      <c r="J218" s="63"/>
      <c r="K218" s="89" t="s">
        <v>1264</v>
      </c>
      <c r="L218" s="239"/>
      <c r="M218" s="89" t="s">
        <v>1265</v>
      </c>
    </row>
    <row r="219">
      <c r="B219" s="234" t="s">
        <v>1266</v>
      </c>
      <c r="C219" s="235" t="str">
        <f t="shared" ref="C219:C221" si="4">HYPERLINK("https://docs.google.com/document/d/1A-zWIrZHSLMYZX7W17zNQk3uH3LXQ9o-651SBFlxfMg/edit?ts=5cd6cbf2#","Write unit tests for assignment_team.rb")</f>
        <v>Write unit tests for assignment_team.rb</v>
      </c>
      <c r="D219" s="242" t="s">
        <v>1267</v>
      </c>
      <c r="E219" s="241" t="s">
        <v>1268</v>
      </c>
      <c r="F219" s="63" t="s">
        <v>1269</v>
      </c>
      <c r="I219" s="63"/>
      <c r="J219" s="63"/>
      <c r="K219" s="156" t="s">
        <v>1270</v>
      </c>
      <c r="L219" s="239"/>
      <c r="M219" s="89" t="s">
        <v>1271</v>
      </c>
    </row>
    <row r="220">
      <c r="B220" s="234" t="s">
        <v>1272</v>
      </c>
      <c r="C220" s="235" t="str">
        <f t="shared" si="4"/>
        <v>Write unit tests for assignment_team.rb</v>
      </c>
      <c r="D220" s="242" t="s">
        <v>1273</v>
      </c>
      <c r="E220" s="245" t="s">
        <v>1274</v>
      </c>
      <c r="F220" s="63"/>
      <c r="I220" s="63"/>
      <c r="J220" s="63"/>
      <c r="K220" s="156" t="s">
        <v>1275</v>
      </c>
      <c r="L220" s="239"/>
      <c r="M220" s="89" t="s">
        <v>1276</v>
      </c>
    </row>
    <row r="221">
      <c r="B221" s="234" t="s">
        <v>1277</v>
      </c>
      <c r="C221" s="235" t="str">
        <f t="shared" si="4"/>
        <v>Write unit tests for assignment_team.rb</v>
      </c>
      <c r="D221" s="236" t="s">
        <v>1278</v>
      </c>
      <c r="E221" s="245" t="s">
        <v>1279</v>
      </c>
      <c r="F221" s="63"/>
      <c r="I221" s="63"/>
      <c r="J221" s="63"/>
      <c r="K221" s="156" t="s">
        <v>1280</v>
      </c>
      <c r="L221" s="239"/>
      <c r="M221" s="89" t="s">
        <v>1281</v>
      </c>
    </row>
    <row r="222">
      <c r="B222" s="234" t="s">
        <v>1282</v>
      </c>
      <c r="C222" s="235" t="str">
        <f>HYPERLINK("https://docs.google.com/document/d/1A-zWIrZHSLMYZX7W17zNQk3uH3LXQ9o-651SBFlxfMg/edit?ts=5cd6cbf2#","OSS Project Navy: Character Issues")</f>
        <v>OSS Project Navy: Character Issues</v>
      </c>
      <c r="D222" s="242" t="s">
        <v>1283</v>
      </c>
      <c r="E222" s="241" t="s">
        <v>1284</v>
      </c>
      <c r="F222" s="63" t="s">
        <v>18</v>
      </c>
      <c r="I222" s="63">
        <v>99.0</v>
      </c>
      <c r="J222" s="63">
        <v>98.0</v>
      </c>
      <c r="K222" s="141" t="s">
        <v>1285</v>
      </c>
      <c r="L222" s="239"/>
      <c r="M222" s="39" t="s">
        <v>1286</v>
      </c>
    </row>
    <row r="223">
      <c r="B223" s="234" t="s">
        <v>1287</v>
      </c>
      <c r="C223" s="235" t="str">
        <f>HYPERLINK("https://docs.google.com/document/d/1A-zWIrZHSLMYZX7W17zNQk3uH3LXQ9o-651SBFlxfMg/edit?ts=5cd6cbf2#","Issues related to security")</f>
        <v>Issues related to security</v>
      </c>
      <c r="D223" s="242" t="s">
        <v>1288</v>
      </c>
      <c r="E223" s="241" t="s">
        <v>1289</v>
      </c>
      <c r="F223" s="105"/>
      <c r="I223" s="63">
        <v>96.0</v>
      </c>
      <c r="J223" s="63">
        <v>96.0</v>
      </c>
      <c r="K223" s="141" t="s">
        <v>1290</v>
      </c>
      <c r="L223" s="239"/>
      <c r="M223" s="39" t="s">
        <v>1291</v>
      </c>
    </row>
    <row r="224">
      <c r="B224" s="234" t="s">
        <v>1292</v>
      </c>
      <c r="C224" s="235" t="str">
        <f>HYPERLINK("https://docs.google.com/document/d/1A-zWIrZHSLMYZX7W17zNQk3uH3LXQ9o-651SBFlxfMg/edit?ts=5cd6cbf2#","Issues related to names")</f>
        <v>Issues related to names</v>
      </c>
      <c r="D224" s="242" t="s">
        <v>1293</v>
      </c>
      <c r="E224" s="246" t="s">
        <v>1294</v>
      </c>
      <c r="F224" s="63" t="s">
        <v>18</v>
      </c>
      <c r="I224" s="63">
        <v>96.0</v>
      </c>
      <c r="J224" s="63">
        <v>98.0</v>
      </c>
      <c r="K224" s="141" t="s">
        <v>1295</v>
      </c>
      <c r="L224" s="239"/>
      <c r="M224" s="39" t="s">
        <v>1296</v>
      </c>
    </row>
    <row r="225">
      <c r="B225" s="234" t="s">
        <v>1297</v>
      </c>
      <c r="C225" s="235" t="str">
        <f>HYPERLINK("https://docs.google.com/document/d/1A-zWIrZHSLMYZX7W17zNQk3uH3LXQ9o-651SBFlxfMg/edit?ts=5cd6cbf2#heading=h.hr8l7r5asys8","Issues related to topic deadlines")</f>
        <v>Issues related to topic deadlines</v>
      </c>
      <c r="D225" s="242" t="s">
        <v>1298</v>
      </c>
      <c r="E225" s="241" t="s">
        <v>1299</v>
      </c>
      <c r="F225" s="105"/>
      <c r="I225" s="63">
        <v>89.0</v>
      </c>
      <c r="J225" s="63">
        <v>91.0</v>
      </c>
      <c r="K225" s="141" t="s">
        <v>1300</v>
      </c>
      <c r="L225" s="239"/>
      <c r="M225" s="39" t="s">
        <v>1301</v>
      </c>
    </row>
    <row r="226">
      <c r="B226" s="234" t="s">
        <v>1302</v>
      </c>
      <c r="C226" s="235" t="str">
        <f>HYPERLINK("https://docs.google.com/document/d/1A-zWIrZHSLMYZX7W17zNQk3uH3LXQ9o-651SBFlxfMg/edit?ts=5cd6cbf2#","Issues related to participants")</f>
        <v>Issues related to participants</v>
      </c>
      <c r="D226" s="242" t="s">
        <v>1303</v>
      </c>
      <c r="E226" s="241" t="s">
        <v>1304</v>
      </c>
      <c r="F226" s="63" t="s">
        <v>18</v>
      </c>
      <c r="I226" s="63">
        <v>99.0</v>
      </c>
      <c r="J226" s="63">
        <v>85.0</v>
      </c>
      <c r="K226" s="141" t="s">
        <v>1305</v>
      </c>
      <c r="L226" s="239"/>
      <c r="M226" s="39" t="s">
        <v>1306</v>
      </c>
    </row>
    <row r="227">
      <c r="B227" s="234" t="s">
        <v>1307</v>
      </c>
      <c r="C227" s="235" t="str">
        <f>HYPERLINK("https://docs.google.com/document/d/1A-zWIrZHSLMYZX7W17zNQk3uH3LXQ9o-651SBFlxfMg/edit?ts=5cd6cbf2#","Issues related to Rubrics")</f>
        <v>Issues related to Rubrics</v>
      </c>
      <c r="D227" s="242" t="s">
        <v>1308</v>
      </c>
      <c r="E227" s="241" t="s">
        <v>1309</v>
      </c>
      <c r="F227" s="105"/>
      <c r="I227" s="63">
        <v>92.0</v>
      </c>
      <c r="J227" s="63">
        <v>90.0</v>
      </c>
      <c r="K227" s="141" t="s">
        <v>1310</v>
      </c>
      <c r="L227" s="239"/>
      <c r="M227" s="39" t="s">
        <v>1311</v>
      </c>
    </row>
    <row r="228">
      <c r="B228" s="190" t="s">
        <v>1312</v>
      </c>
      <c r="C228" s="247"/>
      <c r="D228" s="218"/>
      <c r="E228" s="248"/>
      <c r="F228" s="81"/>
      <c r="G228" s="85"/>
      <c r="H228" s="85"/>
      <c r="I228" s="81"/>
      <c r="J228" s="81"/>
      <c r="K228" s="249"/>
      <c r="L228" s="221"/>
      <c r="M228" s="194"/>
    </row>
    <row r="229">
      <c r="B229" s="234" t="s">
        <v>1313</v>
      </c>
      <c r="C229" s="235" t="str">
        <f>HYPERLINK("https://docs.google.com/document/d/1A-zWIrZHSLMYZX7W17zNQk3uH3LXQ9o-651SBFlxfMg/edit?ts=5cd6cbf2#heading=h.pn478thyy2dv","Review requirements and thresholds")</f>
        <v>Review requirements and thresholds</v>
      </c>
      <c r="D229" s="242" t="s">
        <v>1314</v>
      </c>
      <c r="E229" s="241" t="s">
        <v>1315</v>
      </c>
      <c r="F229" s="63" t="s">
        <v>18</v>
      </c>
      <c r="I229" s="63">
        <v>98.0</v>
      </c>
      <c r="J229" s="63">
        <v>91.0</v>
      </c>
      <c r="K229" s="141" t="s">
        <v>1316</v>
      </c>
      <c r="L229" s="239"/>
      <c r="M229" s="39" t="s">
        <v>1317</v>
      </c>
    </row>
    <row r="230">
      <c r="B230" s="234" t="s">
        <v>1318</v>
      </c>
      <c r="C230" s="235" t="str">
        <f>HYPERLINK("https://docs.google.com/document/d/1A-zWIrZHSLMYZX7W17zNQk3uH3LXQ9o-651SBFlxfMg/edit?ts=5cd6cbf2#heading=h.xo18222qc9oi","OSS Project Red: Assignment Directories")</f>
        <v>OSS Project Red: Assignment Directories</v>
      </c>
      <c r="D230" s="242" t="s">
        <v>1319</v>
      </c>
      <c r="E230" s="241" t="s">
        <v>1320</v>
      </c>
      <c r="F230" s="63" t="s">
        <v>1263</v>
      </c>
      <c r="I230" s="63">
        <v>95.0</v>
      </c>
      <c r="J230" s="63">
        <v>80.0</v>
      </c>
      <c r="K230" s="141" t="s">
        <v>1321</v>
      </c>
      <c r="L230" s="239"/>
      <c r="M230" s="39" t="s">
        <v>1322</v>
      </c>
    </row>
    <row r="231">
      <c r="B231" s="234" t="s">
        <v>1323</v>
      </c>
      <c r="C231" s="235" t="str">
        <f>HYPERLINK("https://docs.google.com/document/d/1A-zWIrZHSLMYZX7W17zNQk3uH3LXQ9o-651SBFlxfMg/edit?ts=5cd6cbf2#heading=h.d5wgsylzvfss","Refactor review_mapping_controller.rb")</f>
        <v>Refactor review_mapping_controller.rb</v>
      </c>
      <c r="D231" s="242" t="s">
        <v>1324</v>
      </c>
      <c r="E231" s="241" t="s">
        <v>1325</v>
      </c>
      <c r="F231" s="63" t="s">
        <v>18</v>
      </c>
      <c r="I231" s="63">
        <v>97.0</v>
      </c>
      <c r="J231" s="63">
        <v>95.0</v>
      </c>
      <c r="K231" s="141" t="s">
        <v>1326</v>
      </c>
      <c r="L231" s="239"/>
      <c r="M231" s="39" t="s">
        <v>1327</v>
      </c>
    </row>
    <row r="232">
      <c r="B232" s="234" t="s">
        <v>1328</v>
      </c>
      <c r="C232" s="235" t="str">
        <f>HYPERLINK("https://docs.google.com/document/d/1A-zWIrZHSLMYZX7W17zNQk3uH3LXQ9o-651SBFlxfMg/edit?ts=5cd6cbf2#","Refactor quiz_questionnaires_controller.rb")</f>
        <v>Refactor quiz_questionnaires_controller.rb</v>
      </c>
      <c r="D232" s="242" t="s">
        <v>1329</v>
      </c>
      <c r="E232" s="241" t="s">
        <v>1330</v>
      </c>
      <c r="F232" s="105"/>
      <c r="I232" s="63">
        <v>88.0</v>
      </c>
      <c r="J232" s="63">
        <v>92.0</v>
      </c>
      <c r="K232" s="141" t="s">
        <v>1331</v>
      </c>
      <c r="L232" s="239"/>
      <c r="M232" s="39" t="s">
        <v>1332</v>
      </c>
    </row>
    <row r="233">
      <c r="B233" s="234" t="s">
        <v>1333</v>
      </c>
      <c r="C233" s="235" t="str">
        <f>HYPERLINK("https://docs.google.com/document/d/1A-zWIrZHSLMYZX7W17zNQk3uH3LXQ9o-651SBFlxfMg/edit?ts=5cd6cbf2#","Refactor delayed_mailer.rb and scheduled_task.rb")</f>
        <v>Refactor delayed_mailer.rb and scheduled_task.rb</v>
      </c>
      <c r="D233" s="242" t="s">
        <v>1334</v>
      </c>
      <c r="E233" s="241" t="s">
        <v>1335</v>
      </c>
      <c r="F233" s="63" t="s">
        <v>1263</v>
      </c>
      <c r="I233" s="63">
        <v>99.0</v>
      </c>
      <c r="J233" s="63">
        <v>98.0</v>
      </c>
      <c r="K233" s="141" t="s">
        <v>1336</v>
      </c>
      <c r="L233" s="239"/>
      <c r="M233" s="39" t="s">
        <v>1337</v>
      </c>
    </row>
    <row r="234">
      <c r="B234" s="234" t="s">
        <v>1338</v>
      </c>
      <c r="C234" s="235" t="str">
        <f>HYPERLINK("https://docs.google.com/document/d/1A-zWIrZHSLMYZX7W17zNQk3uH3LXQ9o-651SBFlxfMg/edit?ts=5cd6cbf2#heading=h.gotokttmnzv3","Improve e-mail notifications")</f>
        <v>Improve e-mail notifications</v>
      </c>
      <c r="D234" s="242" t="s">
        <v>1339</v>
      </c>
      <c r="E234" s="241" t="s">
        <v>1340</v>
      </c>
      <c r="F234" s="63"/>
      <c r="I234" s="63">
        <v>93.0</v>
      </c>
      <c r="J234" s="63">
        <v>100.0</v>
      </c>
      <c r="K234" s="141" t="s">
        <v>1341</v>
      </c>
      <c r="L234" s="239"/>
      <c r="M234" s="39" t="s">
        <v>1342</v>
      </c>
    </row>
    <row r="235">
      <c r="B235" s="234" t="s">
        <v>1343</v>
      </c>
      <c r="C235" s="235" t="str">
        <f>HYPERLINK("https://docs.google.com/document/d/1A-zWIrZHSLMYZX7W17zNQk3uH3LXQ9o-651SBFlxfMg/edit?ts=5cd6cbf2#","Fix and improve rubric criteria")</f>
        <v>Fix and improve rubric criteria</v>
      </c>
      <c r="D235" s="242" t="s">
        <v>1344</v>
      </c>
      <c r="E235" s="241" t="s">
        <v>1345</v>
      </c>
      <c r="F235" s="63" t="s">
        <v>18</v>
      </c>
      <c r="I235" s="63">
        <v>97.0</v>
      </c>
      <c r="J235" s="63">
        <v>97.0</v>
      </c>
      <c r="K235" s="141" t="s">
        <v>1346</v>
      </c>
      <c r="L235" s="239"/>
      <c r="M235" s="39" t="s">
        <v>1347</v>
      </c>
    </row>
    <row r="236">
      <c r="B236" s="234" t="s">
        <v>1348</v>
      </c>
      <c r="C236" s="235" t="str">
        <f>HYPERLINK("https://docs.google.com/document/d/1A-zWIrZHSLMYZX7W17zNQk3uH3LXQ9o-651SBFlxfMg/edit?ts=5cd6cbf2#heading=h.cdkemuiplrq6","OSS Project Orange: Author feedback (rejoinder) enhancements")</f>
        <v>OSS Project Orange: Author feedback (rejoinder) enhancements</v>
      </c>
      <c r="D236" s="242" t="s">
        <v>1349</v>
      </c>
      <c r="E236" s="241" t="s">
        <v>1350</v>
      </c>
      <c r="F236" s="63" t="s">
        <v>305</v>
      </c>
      <c r="G236" s="18">
        <v>2.0</v>
      </c>
      <c r="I236" s="63">
        <v>95.0</v>
      </c>
      <c r="J236" s="63">
        <v>95.0</v>
      </c>
      <c r="K236" s="141" t="s">
        <v>1351</v>
      </c>
      <c r="L236" s="239"/>
      <c r="M236" s="39" t="s">
        <v>1352</v>
      </c>
    </row>
    <row r="237">
      <c r="B237" s="250" t="s">
        <v>1353</v>
      </c>
      <c r="C237" s="251" t="str">
        <f>HYPERLINK("https://docs.google.com/document/d/1A-zWIrZHSLMYZX7W17zNQk3uH3LXQ9o-651SBFlxfMg/edit?ts=5cd6cbf2#heading=h.8f17jza45lql","OSS Project Teal: Email notification enhancements")</f>
        <v>OSS Project Teal: Email notification enhancements</v>
      </c>
      <c r="D237" s="242" t="s">
        <v>1354</v>
      </c>
      <c r="E237" s="241" t="s">
        <v>1355</v>
      </c>
      <c r="F237" s="105"/>
      <c r="I237" s="63">
        <v>93.0</v>
      </c>
      <c r="J237" s="63">
        <v>94.0</v>
      </c>
      <c r="K237" s="141" t="s">
        <v>1356</v>
      </c>
      <c r="L237" s="239"/>
      <c r="M237" s="39" t="s">
        <v>1357</v>
      </c>
    </row>
    <row r="238">
      <c r="B238" s="234" t="s">
        <v>1358</v>
      </c>
      <c r="C238" s="235" t="str">
        <f>HYPERLINK("https://docs.google.com/document/d/1A-zWIrZHSLMYZX7W17zNQk3uH3LXQ9o-651SBFlxfMg/edit?ts=5cd6cbf2#","OSS Project Juniper: Bookmark enhancements")</f>
        <v>OSS Project Juniper: Bookmark enhancements</v>
      </c>
      <c r="D238" s="242" t="s">
        <v>1359</v>
      </c>
      <c r="E238" s="241" t="s">
        <v>1360</v>
      </c>
      <c r="F238" s="105"/>
      <c r="I238" s="63">
        <v>91.0</v>
      </c>
      <c r="J238" s="63" t="s">
        <v>1361</v>
      </c>
      <c r="K238" s="141" t="s">
        <v>1362</v>
      </c>
      <c r="L238" s="239"/>
      <c r="M238" s="39" t="s">
        <v>1363</v>
      </c>
    </row>
    <row r="239">
      <c r="B239" s="234" t="s">
        <v>1364</v>
      </c>
      <c r="C239" s="235" t="str">
        <f>HYPERLINK("https://docs.google.com/document/d/1A-zWIrZHSLMYZX7W17zNQk3uH3LXQ9o-651SBFlxfMg/edit?ts=5cd6cbf2#","OSS project Duke Blue: Fix import glitches")</f>
        <v>OSS project Duke Blue: Fix import glitches</v>
      </c>
      <c r="D239" s="242" t="s">
        <v>1365</v>
      </c>
      <c r="E239" s="241" t="s">
        <v>1366</v>
      </c>
      <c r="F239" s="105"/>
      <c r="I239" s="63">
        <v>83.0</v>
      </c>
      <c r="J239" s="63">
        <v>94.0</v>
      </c>
      <c r="K239" s="141" t="s">
        <v>1367</v>
      </c>
      <c r="L239" s="239"/>
      <c r="M239" s="39" t="s">
        <v>1368</v>
      </c>
    </row>
    <row r="240">
      <c r="B240" s="234" t="s">
        <v>1369</v>
      </c>
      <c r="C240" s="235" t="str">
        <f>HYPERLINK("https://docs.google.com/document/d/1A-zWIrZHSLMYZX7W17zNQk3uH3LXQ9o-651SBFlxfMg/edit?ts=5cd6cbf2#heading=h.j4gyaech135v","OSS Project Beige: UI features related to revision time")</f>
        <v>OSS Project Beige: UI features related to revision time</v>
      </c>
      <c r="D240" s="242" t="s">
        <v>1370</v>
      </c>
      <c r="E240" s="241" t="s">
        <v>1371</v>
      </c>
      <c r="F240" s="105"/>
      <c r="I240" s="63">
        <v>95.0</v>
      </c>
      <c r="J240" s="63">
        <v>90.0</v>
      </c>
      <c r="K240" s="141" t="s">
        <v>1372</v>
      </c>
      <c r="L240" s="239"/>
      <c r="M240" s="39" t="s">
        <v>1373</v>
      </c>
    </row>
    <row r="241">
      <c r="B241" s="234" t="s">
        <v>1374</v>
      </c>
      <c r="C241" s="235" t="str">
        <f>HYPERLINK("https://docs.google.com/document/d/1A-zWIrZHSLMYZX7W17zNQk3uH3LXQ9o-651SBFlxfMg/edit?ts=5cd6cbf2#","OSS project Yellow: Topic management")</f>
        <v>OSS project Yellow: Topic management</v>
      </c>
      <c r="D241" s="242" t="s">
        <v>1375</v>
      </c>
      <c r="E241" s="241" t="s">
        <v>1376</v>
      </c>
      <c r="F241" s="63" t="s">
        <v>18</v>
      </c>
      <c r="I241" s="63">
        <v>97.0</v>
      </c>
      <c r="J241" s="63">
        <v>98.0</v>
      </c>
      <c r="K241" s="141" t="s">
        <v>1377</v>
      </c>
      <c r="L241" s="239"/>
      <c r="M241" s="39" t="s">
        <v>1378</v>
      </c>
    </row>
    <row r="242">
      <c r="B242" s="234" t="s">
        <v>1379</v>
      </c>
      <c r="C242" s="235" t="str">
        <f>HYPERLINK("https://docs.google.com/document/d/1A-zWIrZHSLMYZX7W17zNQk3uH3LXQ9o-651SBFlxfMg/edit?ts=5cd6cbf2#heading=h.onvryi5qchrp","Introduce a Student View for instructors")</f>
        <v>Introduce a Student View for instructors</v>
      </c>
      <c r="D242" s="242" t="s">
        <v>1380</v>
      </c>
      <c r="E242" s="241" t="s">
        <v>1381</v>
      </c>
      <c r="F242" s="63" t="s">
        <v>1382</v>
      </c>
      <c r="G242" s="18">
        <v>3.0</v>
      </c>
      <c r="I242" s="63">
        <v>98.0</v>
      </c>
      <c r="J242" s="63">
        <v>88.0</v>
      </c>
      <c r="K242" s="141" t="s">
        <v>1383</v>
      </c>
      <c r="L242" s="239"/>
      <c r="M242" s="39" t="s">
        <v>1384</v>
      </c>
    </row>
    <row r="243">
      <c r="B243" s="234" t="s">
        <v>1385</v>
      </c>
      <c r="C243" s="235" t="str">
        <f>HYPERLINK("https://docs.google.com/document/d/1A-zWIrZHSLMYZX7W17zNQk3uH3LXQ9o-651SBFlxfMg/edit?ts=5cd6cbf2#","Add past-due assignments to task list")</f>
        <v>Add past-due assignments to task list</v>
      </c>
      <c r="D243" s="242" t="s">
        <v>1386</v>
      </c>
      <c r="E243" s="241" t="s">
        <v>1387</v>
      </c>
      <c r="F243" s="105"/>
      <c r="I243" s="63">
        <v>91.0</v>
      </c>
      <c r="J243" s="63">
        <v>80.0</v>
      </c>
      <c r="K243" s="141" t="s">
        <v>1388</v>
      </c>
      <c r="L243" s="239"/>
      <c r="M243" s="39" t="s">
        <v>1389</v>
      </c>
    </row>
    <row r="244">
      <c r="A244" s="252" t="s">
        <v>1390</v>
      </c>
      <c r="B244" s="253" t="s">
        <v>1391</v>
      </c>
      <c r="C244" s="254" t="str">
        <f>HYPERLINK("https://docs.google.com/document/d/1hEnWHshzGCvN5zBMA90L9-eQuuNKX7skYkkwwOQSjyU/edit?ts=5cd6cc5a#heading=h.bumi2mscmmgf","Let course staff as well as students do reviews")</f>
        <v>Let course staff as well as students do reviews</v>
      </c>
      <c r="D244" s="255" t="s">
        <v>1392</v>
      </c>
      <c r="E244" s="256" t="s">
        <v>1393</v>
      </c>
      <c r="F244" s="105"/>
      <c r="I244" s="257">
        <v>92.0</v>
      </c>
      <c r="J244" s="65">
        <v>92.0</v>
      </c>
      <c r="K244" s="89" t="s">
        <v>1394</v>
      </c>
      <c r="L244" s="258"/>
      <c r="M244" s="89" t="s">
        <v>1395</v>
      </c>
    </row>
    <row r="245">
      <c r="B245" s="253" t="s">
        <v>1396</v>
      </c>
      <c r="C245" s="254" t="str">
        <f>HYPERLINK("https://docs.google.com/document/d/1hEnWHshzGCvN5zBMA90L9-eQuuNKX7skYkkwwOQSjyU/edit?ts=5cd6cc5a#heading=h.6583ied98r6s","Write integration tests for users_controller.rb")</f>
        <v>Write integration tests for users_controller.rb</v>
      </c>
      <c r="D245" s="255" t="s">
        <v>1397</v>
      </c>
      <c r="E245" s="256" t="s">
        <v>1398</v>
      </c>
      <c r="F245" s="107" t="s">
        <v>18</v>
      </c>
      <c r="I245" s="259">
        <v>96.0</v>
      </c>
      <c r="J245" s="65">
        <v>89.0</v>
      </c>
      <c r="K245" s="89" t="s">
        <v>1399</v>
      </c>
      <c r="L245" s="258"/>
      <c r="M245" s="89" t="s">
        <v>1400</v>
      </c>
    </row>
    <row r="246">
      <c r="B246" s="253" t="s">
        <v>1401</v>
      </c>
      <c r="C246" s="254" t="str">
        <f>HYPERLINK("https://docs.google.com/document/d/1hEnWHshzGCvN5zBMA90L9-eQuuNKX7skYkkwwOQSjyU/edit?ts=5cd6cc5a#heading=h.vd4g26kxuggg","Extend the functionality of badging")</f>
        <v>Extend the functionality of badging</v>
      </c>
      <c r="D246" s="255" t="s">
        <v>1402</v>
      </c>
      <c r="E246" s="256" t="s">
        <v>1403</v>
      </c>
      <c r="F246" s="107" t="s">
        <v>18</v>
      </c>
      <c r="I246" s="259">
        <v>94.0</v>
      </c>
      <c r="J246" s="65">
        <v>94.0</v>
      </c>
      <c r="K246" s="89"/>
      <c r="L246" s="258"/>
      <c r="M246" s="89" t="s">
        <v>1404</v>
      </c>
    </row>
    <row r="247">
      <c r="B247" s="253" t="s">
        <v>1405</v>
      </c>
      <c r="C247" s="254" t="str">
        <f>HYPERLINK("https://docs.google.com/document/d/1hEnWHshzGCvN5zBMA90L9-eQuuNKX7skYkkwwOQSjyU/edit?ts=5cd6cc5a#heading=h.pfrehhvs299s","Regularize Expertiza DB schema")</f>
        <v>Regularize Expertiza DB schema</v>
      </c>
      <c r="D247" s="255" t="s">
        <v>1406</v>
      </c>
      <c r="E247" s="256" t="s">
        <v>1407</v>
      </c>
      <c r="F247" s="107" t="s">
        <v>18</v>
      </c>
      <c r="I247" s="259">
        <v>96.0</v>
      </c>
      <c r="J247" s="65">
        <v>95.0</v>
      </c>
      <c r="K247" s="89" t="s">
        <v>1408</v>
      </c>
      <c r="L247" s="258"/>
      <c r="M247" s="89" t="s">
        <v>1409</v>
      </c>
    </row>
    <row r="248">
      <c r="B248" s="253" t="s">
        <v>1410</v>
      </c>
      <c r="C248" s="254" t="str">
        <f>HYPERLINK("https://docs.google.com/document/d/1hEnWHshzGCvN5zBMA90L9-eQuuNKX7skYkkwwOQSjyU/edit?ts=5cd6cc5a#heading=h.q9ins3eebdp3","Review-comment tone-analysis report")</f>
        <v>Review-comment tone-analysis report</v>
      </c>
      <c r="D248" s="255" t="s">
        <v>1411</v>
      </c>
      <c r="E248" s="256" t="s">
        <v>1412</v>
      </c>
      <c r="F248" s="107" t="s">
        <v>1413</v>
      </c>
      <c r="G248" s="18">
        <v>4.0</v>
      </c>
      <c r="I248" s="49" t="s">
        <v>1414</v>
      </c>
      <c r="J248" s="65">
        <v>84.0</v>
      </c>
      <c r="K248" s="89" t="s">
        <v>1415</v>
      </c>
      <c r="L248" s="258"/>
      <c r="M248" s="89" t="s">
        <v>1416</v>
      </c>
    </row>
    <row r="249">
      <c r="B249" s="253" t="s">
        <v>1417</v>
      </c>
      <c r="C249" s="254" t="str">
        <f>HYPERLINK("https://docs.google.com/document/d/1hEnWHshzGCvN5zBMA90L9-eQuuNKX7skYkkwwOQSjyU/edit?ts=5cd6cc5a#heading=h.jz9cgzqrt9zb","Improve self-review Link peer review &amp; self-review to derive grades")</f>
        <v>Improve self-review Link peer review &amp; self-review to derive grades</v>
      </c>
      <c r="D249" s="255" t="s">
        <v>1418</v>
      </c>
      <c r="E249" s="256" t="s">
        <v>1419</v>
      </c>
      <c r="F249" s="105"/>
      <c r="I249" s="257">
        <v>88.0</v>
      </c>
      <c r="J249" s="65">
        <v>86.0</v>
      </c>
      <c r="K249" s="107" t="s">
        <v>1420</v>
      </c>
      <c r="L249" s="258"/>
      <c r="M249" s="89" t="s">
        <v>1421</v>
      </c>
    </row>
    <row r="250">
      <c r="B250" s="253" t="s">
        <v>1422</v>
      </c>
      <c r="C250" s="254" t="str">
        <f>HYPERLINK("https://docs.google.com/document/d/1hEnWHshzGCvN5zBMA90L9-eQuuNKX7skYkkwwOQSjyU/edit?ts=5cd6cc5a#heading=h.ccyddmbcnd1g","Role-based reviewing")</f>
        <v>Role-based reviewing</v>
      </c>
      <c r="D250" s="255" t="s">
        <v>1423</v>
      </c>
      <c r="E250" s="256" t="s">
        <v>1424</v>
      </c>
      <c r="F250" s="260" t="s">
        <v>1425</v>
      </c>
      <c r="G250" s="18">
        <v>2.0</v>
      </c>
      <c r="I250" s="49" t="s">
        <v>1426</v>
      </c>
      <c r="J250" s="65">
        <v>99.0</v>
      </c>
      <c r="K250" s="107" t="s">
        <v>1427</v>
      </c>
      <c r="L250" s="258"/>
      <c r="M250" s="89" t="s">
        <v>1428</v>
      </c>
    </row>
    <row r="251">
      <c r="B251" s="261" t="str">
        <f>HYPERLINK("https://docs.google.com/document/d/1hEnWHshzGCvN5zBMA90L9-eQuuNKX7skYkkwwOQSjyU/edit?ts=5cd6cc5a#","E1817")</f>
        <v>E1817</v>
      </c>
      <c r="C251" s="254" t="str">
        <f>HYPERLINK("https://docs.google.com/document/d/1hEnWHshzGCvN5zBMA90L9-eQuuNKX7skYkkwwOQSjyU/edit?ts=5cd6cc5a#heading=h.qkb3xsnl0kqr","Student-generated questions added to rubric")</f>
        <v>Student-generated questions added to rubric</v>
      </c>
      <c r="D251" s="255" t="s">
        <v>1429</v>
      </c>
      <c r="E251" s="256" t="s">
        <v>1430</v>
      </c>
      <c r="F251" s="105"/>
      <c r="I251" s="257">
        <v>90.0</v>
      </c>
      <c r="J251" s="65">
        <v>91.0</v>
      </c>
      <c r="K251" s="107" t="s">
        <v>1431</v>
      </c>
      <c r="L251" s="258"/>
      <c r="M251" s="89" t="s">
        <v>1432</v>
      </c>
    </row>
    <row r="252">
      <c r="B252" s="253" t="s">
        <v>1433</v>
      </c>
      <c r="C252" s="254" t="str">
        <f>HYPERLINK("https://docs.google.com/document/d/1hEnWHshzGCvN5zBMA90L9-eQuuNKX7skYkkwwOQSjyU/edit?ts=5cd6cc5a#heading=h.y7y5c9hv1pbo","Visualizations for instructors")</f>
        <v>Visualizations for instructors</v>
      </c>
      <c r="D252" s="255" t="s">
        <v>1434</v>
      </c>
      <c r="E252" s="256" t="s">
        <v>1435</v>
      </c>
      <c r="F252" s="105"/>
      <c r="I252" s="188">
        <v>91.0</v>
      </c>
      <c r="J252" s="65">
        <v>95.0</v>
      </c>
      <c r="K252" s="107" t="s">
        <v>1436</v>
      </c>
      <c r="L252" s="258"/>
      <c r="M252" s="89" t="s">
        <v>1437</v>
      </c>
    </row>
    <row r="253">
      <c r="B253" s="253" t="s">
        <v>1438</v>
      </c>
      <c r="C253" s="254" t="str">
        <f>HYPERLINK("https://docs.google.com/document/d/1hEnWHshzGCvN5zBMA90L9-eQuuNKX7skYkkwwOQSjyU/edit?ts=5cd6cc5a#heading=h.clfj3ua5yjq9","Improvements to review grader")</f>
        <v>Improvements to review grader</v>
      </c>
      <c r="D253" s="255" t="s">
        <v>1439</v>
      </c>
      <c r="E253" s="262" t="s">
        <v>1440</v>
      </c>
      <c r="F253" s="63" t="s">
        <v>18</v>
      </c>
      <c r="I253" s="188">
        <v>96.0</v>
      </c>
      <c r="J253" s="65">
        <v>99.0</v>
      </c>
      <c r="K253" s="18" t="s">
        <v>1441</v>
      </c>
      <c r="L253" s="258"/>
      <c r="M253" s="89" t="s">
        <v>1442</v>
      </c>
    </row>
    <row r="254">
      <c r="A254" s="263" t="s">
        <v>1443</v>
      </c>
      <c r="B254" s="264" t="s">
        <v>1444</v>
      </c>
      <c r="C254" s="265" t="str">
        <f t="shared" ref="C254:C255" si="5">HYPERLINK("https://docs.google.com/document/d/15abvurOLaKiHASCzdxOHoUpTbBnB2PI5WiBC-090XxQ/edit?ts=5cd6cbc5#heading=h.cbcnj8brxs5c","Write unit tests for collusion_cycle.rb")</f>
        <v>Write unit tests for collusion_cycle.rb</v>
      </c>
      <c r="D254" s="266" t="s">
        <v>1445</v>
      </c>
      <c r="E254" s="265" t="s">
        <v>1446</v>
      </c>
      <c r="F254" s="63" t="s">
        <v>1447</v>
      </c>
      <c r="I254" s="267"/>
      <c r="J254" s="63"/>
      <c r="K254" s="156" t="s">
        <v>1448</v>
      </c>
      <c r="L254" s="268"/>
      <c r="M254" s="89" t="s">
        <v>1449</v>
      </c>
    </row>
    <row r="255">
      <c r="B255" s="264" t="s">
        <v>1450</v>
      </c>
      <c r="C255" s="265" t="str">
        <f t="shared" si="5"/>
        <v>Write unit tests for collusion_cycle.rb</v>
      </c>
      <c r="D255" s="266" t="s">
        <v>1451</v>
      </c>
      <c r="E255" s="196" t="s">
        <v>1452</v>
      </c>
      <c r="F255" s="63"/>
      <c r="I255" s="63"/>
      <c r="J255" s="63"/>
      <c r="K255" s="156" t="s">
        <v>1453</v>
      </c>
      <c r="L255" s="268"/>
      <c r="M255" s="89" t="s">
        <v>1454</v>
      </c>
    </row>
    <row r="256">
      <c r="B256" s="264" t="s">
        <v>1455</v>
      </c>
      <c r="C256" s="265" t="str">
        <f t="shared" ref="C256:C257" si="6">HYPERLINK("https://docs.google.com/document/d/15abvurOLaKiHASCzdxOHoUpTbBnB2PI5WiBC-090XxQ/edit?ts=5cd6cbc5#heading=h.wmxrlmjxt8ga","Write unit tests for menu_item.rb")</f>
        <v>Write unit tests for menu_item.rb</v>
      </c>
      <c r="D256" s="269" t="s">
        <v>1456</v>
      </c>
      <c r="E256" s="270" t="s">
        <v>1457</v>
      </c>
      <c r="F256" s="63" t="s">
        <v>1263</v>
      </c>
      <c r="I256" s="63" t="s">
        <v>1458</v>
      </c>
      <c r="J256" s="63" t="s">
        <v>1459</v>
      </c>
      <c r="K256" s="89" t="s">
        <v>1460</v>
      </c>
      <c r="L256" s="268"/>
      <c r="M256" s="89" t="s">
        <v>1461</v>
      </c>
    </row>
    <row r="257">
      <c r="B257" s="264" t="s">
        <v>1462</v>
      </c>
      <c r="C257" s="265" t="str">
        <f t="shared" si="6"/>
        <v>Write unit tests for menu_item.rb</v>
      </c>
      <c r="D257" s="269" t="s">
        <v>1463</v>
      </c>
      <c r="E257" s="271" t="s">
        <v>1464</v>
      </c>
      <c r="F257" s="63"/>
      <c r="I257" s="63"/>
      <c r="J257" s="63"/>
      <c r="K257" s="156" t="s">
        <v>1465</v>
      </c>
      <c r="L257" s="268"/>
      <c r="M257" s="89" t="s">
        <v>1466</v>
      </c>
    </row>
    <row r="258">
      <c r="B258" s="264" t="s">
        <v>1467</v>
      </c>
      <c r="C258" s="265" t="str">
        <f t="shared" ref="C258:C259" si="7">HYPERLINK("https://docs.google.com/document/d/15abvurOLaKiHASCzdxOHoUpTbBnB2PI5WiBC-090XxQ/edit?ts=5cd6cbc5#heading=h.c0f0nh5pcy10","Write unit tests for on_the_fly_calc.rb")</f>
        <v>Write unit tests for on_the_fly_calc.rb</v>
      </c>
      <c r="D258" s="272" t="s">
        <v>1468</v>
      </c>
      <c r="E258" s="265" t="s">
        <v>1469</v>
      </c>
      <c r="F258" s="63"/>
      <c r="I258" s="63"/>
      <c r="J258" s="63"/>
      <c r="K258" s="41" t="s">
        <v>1470</v>
      </c>
      <c r="L258" s="268"/>
      <c r="M258" s="39" t="s">
        <v>1471</v>
      </c>
    </row>
    <row r="259">
      <c r="B259" s="264" t="s">
        <v>1472</v>
      </c>
      <c r="C259" s="265" t="str">
        <f t="shared" si="7"/>
        <v>Write unit tests for on_the_fly_calc.rb</v>
      </c>
      <c r="D259" s="272" t="s">
        <v>1473</v>
      </c>
      <c r="E259" s="265" t="s">
        <v>1474</v>
      </c>
      <c r="F259" s="63" t="s">
        <v>1447</v>
      </c>
      <c r="I259" s="63"/>
      <c r="J259" s="63"/>
      <c r="K259" s="41" t="s">
        <v>1475</v>
      </c>
      <c r="L259" s="268"/>
      <c r="M259" s="39" t="s">
        <v>1476</v>
      </c>
    </row>
    <row r="260">
      <c r="B260" s="190" t="s">
        <v>1477</v>
      </c>
      <c r="C260" s="191" t="str">
        <f>HYPERLINK("https://docs.google.com/document/d/15abvurOLaKiHASCzdxOHoUpTbBnB2PI5WiBC-090XxQ/edit?ts=5cd6cbc5#heading=h.rb34cx6opg4f","Write unit tests for review_response_map.rb")</f>
        <v>Write unit tests for review_response_map.rb</v>
      </c>
      <c r="D260" s="273" t="s">
        <v>23</v>
      </c>
      <c r="E260" s="192"/>
      <c r="F260" s="81" t="s">
        <v>1478</v>
      </c>
      <c r="G260" s="85"/>
      <c r="H260" s="85"/>
      <c r="I260" s="81"/>
      <c r="J260" s="81"/>
      <c r="K260" s="194"/>
      <c r="L260" s="195"/>
      <c r="M260" s="194"/>
    </row>
    <row r="261">
      <c r="B261" s="264" t="s">
        <v>1479</v>
      </c>
      <c r="C261" s="265" t="str">
        <f>HYPERLINK("https://docs.google.com/document/d/15abvurOLaKiHASCzdxOHoUpTbBnB2PI5WiBC-090XxQ/edit?ts=5cd6cbc5#heading=h.hboeuosu18eh","Show sample submissions and reviews")</f>
        <v>Show sample submissions and reviews</v>
      </c>
      <c r="D261" s="274"/>
      <c r="E261" s="275" t="s">
        <v>1480</v>
      </c>
      <c r="F261" s="105"/>
      <c r="I261" s="63">
        <v>91.0</v>
      </c>
      <c r="J261" s="63">
        <v>99.0</v>
      </c>
      <c r="K261" s="156" t="s">
        <v>1481</v>
      </c>
      <c r="L261" s="268"/>
      <c r="M261" s="89" t="s">
        <v>1482</v>
      </c>
    </row>
    <row r="262">
      <c r="B262" s="190" t="s">
        <v>1483</v>
      </c>
      <c r="C262" s="191" t="str">
        <f>HYPERLINK("https://docs.google.com/document/d/15abvurOLaKiHASCzdxOHoUpTbBnB2PI5WiBC-090XxQ/edit?ts=5cd6cbc5#heading=h.rree7pkr7ox","Refactor questionnaires_controller.rb")</f>
        <v>Refactor questionnaires_controller.rb</v>
      </c>
      <c r="D262" s="190"/>
      <c r="E262" s="192"/>
      <c r="F262" s="81" t="s">
        <v>1478</v>
      </c>
      <c r="G262" s="85"/>
      <c r="H262" s="85"/>
      <c r="I262" s="81"/>
      <c r="J262" s="81"/>
      <c r="K262" s="194"/>
      <c r="L262" s="195"/>
      <c r="M262" s="194"/>
    </row>
    <row r="263">
      <c r="B263" s="264" t="s">
        <v>1484</v>
      </c>
      <c r="C263" s="265" t="str">
        <f>HYPERLINK("https://docs.google.com/document/d/15abvurOLaKiHASCzdxOHoUpTbBnB2PI5WiBC-090XxQ/edit?ts=5cd6cbc5#heading=h.w2bjk9s7qym7","Refactor review_mapping_controller.rb")</f>
        <v>Refactor review_mapping_controller.rb</v>
      </c>
      <c r="D263" s="274"/>
      <c r="E263" s="275" t="s">
        <v>1485</v>
      </c>
      <c r="F263" s="105"/>
      <c r="I263" s="63">
        <v>93.0</v>
      </c>
      <c r="J263" s="63">
        <v>95.0</v>
      </c>
      <c r="K263" s="141" t="s">
        <v>1486</v>
      </c>
      <c r="L263" s="268"/>
      <c r="M263" s="39" t="s">
        <v>1487</v>
      </c>
    </row>
    <row r="264">
      <c r="B264" s="264" t="s">
        <v>1488</v>
      </c>
      <c r="C264" s="265" t="str">
        <f>HYPERLINK("https://docs.google.com/document/d/15abvurOLaKiHASCzdxOHoUpTbBnB2PI5WiBC-090XxQ/edit?ts=5cd6cbc5#heading=h.1py5787w2v78","OSS project Bronze: Score calculations")</f>
        <v>OSS project Bronze: Score calculations</v>
      </c>
      <c r="D264" s="264"/>
      <c r="E264" s="270" t="s">
        <v>1489</v>
      </c>
      <c r="F264" s="63" t="s">
        <v>18</v>
      </c>
      <c r="I264" s="63">
        <v>95.0</v>
      </c>
      <c r="J264" s="63">
        <v>97.0</v>
      </c>
      <c r="K264" s="141" t="s">
        <v>1490</v>
      </c>
      <c r="L264" s="268"/>
      <c r="M264" s="39" t="s">
        <v>1491</v>
      </c>
    </row>
    <row r="265">
      <c r="B265" s="264" t="s">
        <v>1492</v>
      </c>
      <c r="C265" s="265" t="str">
        <f>HYPERLINK("https://docs.google.com/document/d/15abvurOLaKiHASCzdxOHoUpTbBnB2PI5WiBC-090XxQ/edit?ts=5cd6cbc5#heading=h.j8f044rqy51w","OSS Project Juniper: Bookmark enhancements")</f>
        <v>OSS Project Juniper: Bookmark enhancements</v>
      </c>
      <c r="D265" s="264"/>
      <c r="E265" s="270" t="s">
        <v>1493</v>
      </c>
      <c r="F265" s="105"/>
      <c r="I265" s="63" t="s">
        <v>1494</v>
      </c>
      <c r="J265" s="63">
        <v>95.0</v>
      </c>
      <c r="K265" s="141" t="s">
        <v>1495</v>
      </c>
      <c r="L265" s="268"/>
      <c r="M265" s="39" t="s">
        <v>1496</v>
      </c>
    </row>
    <row r="266">
      <c r="B266" s="264" t="s">
        <v>1497</v>
      </c>
      <c r="C266" s="265" t="str">
        <f>HYPERLINK("https://docs.google.com/document/d/15abvurOLaKiHASCzdxOHoUpTbBnB2PI5WiBC-090XxQ/edit?ts=5cd6cbc5#heading=h.2tax41dd9baz","Convolutional data extraction from Github")</f>
        <v>Convolutional data extraction from Github</v>
      </c>
      <c r="D266" s="264"/>
      <c r="E266" s="270" t="s">
        <v>1498</v>
      </c>
      <c r="F266" s="105"/>
      <c r="I266" s="63">
        <v>93.0</v>
      </c>
      <c r="J266" s="63">
        <v>93.0</v>
      </c>
      <c r="K266" s="118" t="s">
        <v>1499</v>
      </c>
      <c r="L266" s="268"/>
      <c r="M266" s="39" t="s">
        <v>1500</v>
      </c>
    </row>
    <row r="267">
      <c r="B267" s="264" t="s">
        <v>1501</v>
      </c>
      <c r="C267" s="265" t="str">
        <f>HYPERLINK("https://docs.google.com/document/d/15abvurOLaKiHASCzdxOHoUpTbBnB2PI5WiBC-090XxQ/edit?ts=5cd6cbc5#heading=h.3vdcy026vrdu","OSS project Yellow: Topic management")</f>
        <v>OSS project Yellow: Topic management</v>
      </c>
      <c r="D267" s="264"/>
      <c r="E267" s="270" t="s">
        <v>1502</v>
      </c>
      <c r="F267" s="63" t="s">
        <v>1503</v>
      </c>
      <c r="I267" s="63">
        <v>91.0</v>
      </c>
      <c r="J267" s="63">
        <v>90.0</v>
      </c>
      <c r="K267" s="141" t="s">
        <v>1504</v>
      </c>
      <c r="L267" s="268"/>
      <c r="M267" s="39" t="s">
        <v>1505</v>
      </c>
    </row>
    <row r="268">
      <c r="B268" s="264" t="s">
        <v>1506</v>
      </c>
      <c r="C268" s="265" t="str">
        <f>HYPERLINK("https://docs.google.com/document/d/15abvurOLaKiHASCzdxOHoUpTbBnB2PI5WiBC-090XxQ/edit?ts=5cd6cbc5#heading=h.onvryi5qchrp","Introduce a Student View for instructors")</f>
        <v>Introduce a Student View for instructors</v>
      </c>
      <c r="D268" s="264"/>
      <c r="E268" s="270" t="s">
        <v>1507</v>
      </c>
      <c r="F268" s="105"/>
      <c r="I268" s="63">
        <v>93.0</v>
      </c>
      <c r="J268" s="63">
        <v>97.0</v>
      </c>
      <c r="K268" s="141" t="s">
        <v>1508</v>
      </c>
      <c r="L268" s="268"/>
      <c r="M268" s="39" t="s">
        <v>1509</v>
      </c>
    </row>
    <row r="269">
      <c r="B269" s="190" t="s">
        <v>1510</v>
      </c>
      <c r="C269" s="191" t="str">
        <f>HYPERLINK("https://docs.google.com/document/d/15abvurOLaKiHASCzdxOHoUpTbBnB2PI5WiBC-090XxQ/edit?ts=5cd6cbc5#heading=h.8m1o44tzf4p","Feature test for rubric advice")</f>
        <v>Feature test for rubric advice</v>
      </c>
      <c r="D269" s="190" t="s">
        <v>23</v>
      </c>
      <c r="E269" s="192"/>
      <c r="F269" s="81" t="s">
        <v>1478</v>
      </c>
      <c r="G269" s="85"/>
      <c r="H269" s="85"/>
      <c r="I269" s="81"/>
      <c r="J269" s="81"/>
      <c r="K269" s="194"/>
      <c r="L269" s="195"/>
      <c r="M269" s="194"/>
    </row>
    <row r="270">
      <c r="B270" s="228" t="s">
        <v>1511</v>
      </c>
      <c r="C270" s="229" t="str">
        <f>HYPERLINK("https://docs.google.com/document/d/15abvurOLaKiHASCzdxOHoUpTbBnB2PI5WiBC-090XxQ/edit?ts=5cd6cbc5#heading=h.zff1hy6ybmp2","Bidding tests")</f>
        <v>Bidding tests</v>
      </c>
      <c r="D270" s="190" t="s">
        <v>23</v>
      </c>
      <c r="E270" s="232"/>
      <c r="F270" s="81" t="s">
        <v>1478</v>
      </c>
      <c r="G270" s="85"/>
      <c r="H270" s="85"/>
      <c r="I270" s="81"/>
      <c r="J270" s="81"/>
      <c r="K270" s="194"/>
      <c r="L270" s="195"/>
      <c r="M270" s="194"/>
    </row>
    <row r="271">
      <c r="B271" s="264" t="s">
        <v>1512</v>
      </c>
      <c r="C271" s="265" t="str">
        <f>HYPERLINK("https://docs.google.com/document/d/15abvurOLaKiHASCzdxOHoUpTbBnB2PI5WiBC-090XxQ/edit?ts=5cd6cbc5#heading=h.y5vw8t2d1nzg","Add past-due assignments to task list")</f>
        <v>Add past-due assignments to task list</v>
      </c>
      <c r="D271" s="274"/>
      <c r="E271" s="276" t="s">
        <v>1513</v>
      </c>
      <c r="F271" s="63" t="s">
        <v>1514</v>
      </c>
      <c r="I271" s="63">
        <v>91.0</v>
      </c>
      <c r="J271" s="63">
        <v>99.0</v>
      </c>
      <c r="K271" s="156" t="s">
        <v>1515</v>
      </c>
      <c r="L271" s="268"/>
      <c r="M271" s="89" t="s">
        <v>1516</v>
      </c>
    </row>
    <row r="272">
      <c r="A272" s="277" t="s">
        <v>1517</v>
      </c>
      <c r="B272" s="278" t="s">
        <v>1518</v>
      </c>
      <c r="C272" s="279" t="str">
        <f>HYPERLINK("https://docs.google.com/document/d/1WYiXxhYyycp9a3I0GTC-4KFgHrg65Tf27ijJNQvxhmk/edit?ts=5cd6cc3d#heading=h.sv09or7vdqe","Lazy loading (infinite scroll) for assignments, courses, questionnaires, and user lists with Jscroll")</f>
        <v>Lazy loading (infinite scroll) for assignments, courses, questionnaires, and user lists with Jscroll</v>
      </c>
      <c r="D272" s="278" t="s">
        <v>1519</v>
      </c>
      <c r="E272" s="280" t="s">
        <v>1520</v>
      </c>
      <c r="F272" s="63" t="s">
        <v>18</v>
      </c>
      <c r="I272" s="63"/>
      <c r="J272" s="63"/>
      <c r="K272" s="89" t="s">
        <v>1521</v>
      </c>
      <c r="L272" s="281"/>
      <c r="M272" s="89" t="s">
        <v>1522</v>
      </c>
    </row>
    <row r="273">
      <c r="B273" s="278" t="s">
        <v>1523</v>
      </c>
      <c r="C273" s="279" t="str">
        <f>HYPERLINK("https://docs.google.com/document/d/1WYiXxhYyycp9a3I0GTC-4KFgHrg65Tf27ijJNQvxhmk/edit?ts=5cd6cc3d#heading=h.tiuxy8e6odeq","Use a profiler to identify the problems / pages that take some time to load &amp; fix them")</f>
        <v>Use a profiler to identify the problems / pages that take some time to load &amp; fix them</v>
      </c>
      <c r="D273" s="282" t="s">
        <v>1524</v>
      </c>
      <c r="E273" s="283" t="s">
        <v>1525</v>
      </c>
      <c r="F273" s="105"/>
      <c r="I273" s="105"/>
      <c r="J273" s="105"/>
      <c r="K273" s="89" t="s">
        <v>1526</v>
      </c>
      <c r="L273" s="281"/>
      <c r="M273" s="89" t="s">
        <v>1527</v>
      </c>
    </row>
    <row r="274">
      <c r="B274" s="278" t="s">
        <v>1528</v>
      </c>
      <c r="C274" s="279" t="str">
        <f>HYPERLINK("https://docs.google.com/document/d/1WYiXxhYyycp9a3I0GTC-4KFgHrg65Tf27ijJNQvxhmk/edit?ts=5cd6cc3d#heading=h.9n6ndrrtxu0o","Allow reviewers to bid on what to review")</f>
        <v>Allow reviewers to bid on what to review</v>
      </c>
      <c r="D274" s="278" t="s">
        <v>1529</v>
      </c>
      <c r="E274" s="280" t="s">
        <v>1530</v>
      </c>
      <c r="F274" s="105"/>
      <c r="I274" s="105"/>
      <c r="J274" s="105"/>
      <c r="K274" s="89" t="s">
        <v>1531</v>
      </c>
      <c r="L274" s="281"/>
      <c r="M274" s="89" t="s">
        <v>1532</v>
      </c>
    </row>
    <row r="275">
      <c r="B275" s="278" t="s">
        <v>1533</v>
      </c>
      <c r="C275" s="279" t="str">
        <f t="shared" ref="C275:C276" si="8">HYPERLINK("https://docs.google.com/document/d/1WYiXxhYyycp9a3I0GTC-4KFgHrg65Tf27ijJNQvxhmk/edit?ts=5cd6cc3d#heading=h.5zini5wo476q","Fix account creation over web to work reasonably")</f>
        <v>Fix account creation over web to work reasonably</v>
      </c>
      <c r="D275" s="278"/>
      <c r="E275" s="284" t="s">
        <v>1534</v>
      </c>
      <c r="F275" s="63"/>
      <c r="I275" s="63"/>
      <c r="J275" s="63"/>
      <c r="K275" s="89"/>
      <c r="L275" s="281"/>
      <c r="M275" s="89" t="s">
        <v>1535</v>
      </c>
    </row>
    <row r="276">
      <c r="B276" s="278" t="s">
        <v>1536</v>
      </c>
      <c r="C276" s="279" t="str">
        <f t="shared" si="8"/>
        <v>Fix account creation over web to work reasonably</v>
      </c>
      <c r="D276" s="278"/>
      <c r="E276" s="284" t="s">
        <v>1537</v>
      </c>
      <c r="F276" s="63" t="s">
        <v>18</v>
      </c>
      <c r="I276" s="63"/>
      <c r="J276" s="63"/>
      <c r="K276" s="89"/>
      <c r="L276" s="281"/>
      <c r="M276" s="89" t="s">
        <v>1538</v>
      </c>
    </row>
    <row r="277">
      <c r="B277" s="278" t="s">
        <v>1539</v>
      </c>
      <c r="C277" s="284" t="s">
        <v>1540</v>
      </c>
      <c r="D277" s="278" t="s">
        <v>1541</v>
      </c>
      <c r="E277" s="280" t="s">
        <v>1542</v>
      </c>
      <c r="F277" s="196" t="s">
        <v>305</v>
      </c>
      <c r="G277" s="18" t="s">
        <v>19</v>
      </c>
      <c r="I277" s="107">
        <v>84.0</v>
      </c>
      <c r="J277" s="107">
        <v>92.0</v>
      </c>
      <c r="K277" s="89" t="s">
        <v>1543</v>
      </c>
      <c r="L277" s="281"/>
      <c r="M277" s="89" t="s">
        <v>1544</v>
      </c>
    </row>
    <row r="278">
      <c r="B278" s="278" t="s">
        <v>1545</v>
      </c>
      <c r="C278" s="279" t="str">
        <f t="shared" ref="C278:C279" si="9">HYPERLINK("https://docs.google.com/document/d/1WYiXxhYyycp9a3I0GTC-4KFgHrg65Tf27ijJNQvxhmk/edit?ts=5cd6cc3d#heading=h.1tyz1lu9pttg","Allow calibration to be part of an assignment")</f>
        <v>Allow calibration to be part of an assignment</v>
      </c>
      <c r="D278" s="278"/>
      <c r="E278" s="279" t="s">
        <v>1546</v>
      </c>
      <c r="F278" s="196"/>
      <c r="G278" s="18"/>
      <c r="I278" s="107"/>
      <c r="J278" s="107"/>
      <c r="K278" s="89"/>
      <c r="L278" s="281"/>
      <c r="M278" s="89" t="s">
        <v>1547</v>
      </c>
    </row>
    <row r="279">
      <c r="B279" s="278" t="s">
        <v>1548</v>
      </c>
      <c r="C279" s="279" t="str">
        <f t="shared" si="9"/>
        <v>Allow calibration to be part of an assignment</v>
      </c>
      <c r="D279" s="278"/>
      <c r="E279" s="284" t="s">
        <v>1549</v>
      </c>
      <c r="F279" s="196" t="s">
        <v>305</v>
      </c>
      <c r="G279" s="18">
        <v>3.0</v>
      </c>
      <c r="I279" s="107"/>
      <c r="J279" s="107"/>
      <c r="K279" s="89" t="s">
        <v>1550</v>
      </c>
      <c r="L279" s="281"/>
      <c r="M279" s="89" t="s">
        <v>1551</v>
      </c>
    </row>
    <row r="280">
      <c r="B280" s="278" t="s">
        <v>1552</v>
      </c>
      <c r="C280" s="279" t="str">
        <f>HYPERLINK("https://docs.google.com/document/d/1WYiXxhYyycp9a3I0GTC-4KFgHrg65Tf27ijJNQvxhmk/edit?ts=5cd6cc3d#heading=h.ocb0ykx62m2c","Upgrade review input UI and sanitize text input")</f>
        <v>Upgrade review input UI and sanitize text input</v>
      </c>
      <c r="D280" s="278" t="s">
        <v>1553</v>
      </c>
      <c r="E280" s="280" t="s">
        <v>1554</v>
      </c>
      <c r="F280" s="63" t="s">
        <v>18</v>
      </c>
      <c r="I280" s="63"/>
      <c r="J280" s="63"/>
      <c r="K280" s="89" t="s">
        <v>1555</v>
      </c>
      <c r="L280" s="281"/>
      <c r="M280" s="89" t="s">
        <v>1556</v>
      </c>
    </row>
    <row r="281">
      <c r="B281" s="278" t="s">
        <v>1557</v>
      </c>
      <c r="C281" s="279" t="str">
        <f t="shared" ref="C281:C282" si="10">HYPERLINK("https://docs.google.com/document/d/1WYiXxhYyycp9a3I0GTC-4KFgHrg65Tf27ijJNQvxhmk/edit?ts=5cd6cc3d#heading=h.u6i7q1mdz0zl","Lightweight badging system based on Credly")</f>
        <v>Lightweight badging system based on Credly</v>
      </c>
      <c r="D281" s="278"/>
      <c r="E281" s="284" t="s">
        <v>1558</v>
      </c>
      <c r="F281" s="63"/>
      <c r="I281" s="63"/>
      <c r="J281" s="63"/>
      <c r="K281" s="89"/>
      <c r="L281" s="281"/>
      <c r="M281" s="89" t="s">
        <v>1559</v>
      </c>
    </row>
    <row r="282">
      <c r="B282" s="278" t="s">
        <v>1560</v>
      </c>
      <c r="C282" s="279" t="str">
        <f t="shared" si="10"/>
        <v>Lightweight badging system based on Credly</v>
      </c>
      <c r="D282" s="278"/>
      <c r="E282" s="284" t="s">
        <v>1561</v>
      </c>
      <c r="F282" s="63" t="s">
        <v>1562</v>
      </c>
      <c r="I282" s="63"/>
      <c r="J282" s="63"/>
      <c r="K282" s="89"/>
      <c r="L282" s="281"/>
      <c r="M282" s="89" t="s">
        <v>1563</v>
      </c>
    </row>
    <row r="283">
      <c r="B283" s="278" t="s">
        <v>1564</v>
      </c>
      <c r="C283" s="279" t="str">
        <f t="shared" ref="C283:C284" si="11">HYPERLINK("https://docs.google.com/document/d/1WYiXxhYyycp9a3I0GTC-4KFgHrg65Tf27ijJNQvxhmk/edit?ts=5cd6cc3d#heading=h.bumi2mscmmgf","Let experts as well as students do reviews")</f>
        <v>Let experts as well as students do reviews</v>
      </c>
      <c r="D283" s="278"/>
      <c r="E283" s="279" t="s">
        <v>1565</v>
      </c>
      <c r="F283" s="105"/>
      <c r="I283" s="105"/>
      <c r="J283" s="105"/>
      <c r="K283" s="89"/>
      <c r="L283" s="281"/>
      <c r="M283" s="89" t="s">
        <v>1566</v>
      </c>
    </row>
    <row r="284">
      <c r="B284" s="278" t="s">
        <v>1567</v>
      </c>
      <c r="C284" s="279" t="str">
        <f t="shared" si="11"/>
        <v>Let experts as well as students do reviews</v>
      </c>
      <c r="D284" s="278"/>
      <c r="E284" s="284" t="s">
        <v>1568</v>
      </c>
      <c r="F284" s="105"/>
      <c r="I284" s="105"/>
      <c r="J284" s="105"/>
      <c r="K284" s="89"/>
      <c r="L284" s="281"/>
      <c r="M284" s="89" t="s">
        <v>1569</v>
      </c>
    </row>
    <row r="285">
      <c r="B285" s="278" t="s">
        <v>1570</v>
      </c>
      <c r="C285" s="279" t="str">
        <f>HYPERLINK("https://docs.google.com/document/d/1WYiXxhYyycp9a3I0GTC-4KFgHrg65Tf27ijJNQvxhmk/edit?ts=5cd6cc3d#heading=h.hc4y90kdy5rb","Team-based reviewing")</f>
        <v>Team-based reviewing</v>
      </c>
      <c r="D285" s="278" t="s">
        <v>1571</v>
      </c>
      <c r="E285" s="280" t="s">
        <v>1572</v>
      </c>
      <c r="F285" s="197" t="s">
        <v>911</v>
      </c>
      <c r="I285" s="107"/>
      <c r="J285" s="107"/>
      <c r="K285" s="89" t="s">
        <v>1573</v>
      </c>
      <c r="L285" s="281"/>
      <c r="M285" s="89" t="s">
        <v>1574</v>
      </c>
    </row>
    <row r="286">
      <c r="B286" s="278" t="s">
        <v>1575</v>
      </c>
      <c r="C286" s="279" t="str">
        <f>HYPERLINK("https://docs.google.com/document/d/1WYiXxhYyycp9a3I0GTC-4KFgHrg65Tf27ijJNQvxhmk/edit?ts=5cd6cc3d#heading=h.jz9cgzqrt9zb","Improve self-review Link peer review &amp; self-review to derive grades (see July 3 minutes)")</f>
        <v>Improve self-review Link peer review &amp; self-review to derive grades (see July 3 minutes)</v>
      </c>
      <c r="D286" s="278" t="s">
        <v>1576</v>
      </c>
      <c r="E286" s="280" t="s">
        <v>1577</v>
      </c>
      <c r="F286" s="105"/>
      <c r="I286" s="105"/>
      <c r="J286" s="105"/>
      <c r="K286" s="89" t="s">
        <v>1578</v>
      </c>
      <c r="L286" s="281"/>
      <c r="M286" s="89" t="s">
        <v>1579</v>
      </c>
    </row>
    <row r="287">
      <c r="B287" s="278" t="s">
        <v>1580</v>
      </c>
      <c r="C287" s="279" t="str">
        <f>HYPERLINK("https://docs.google.com/document/d/1WYiXxhYyycp9a3I0GTC-4KFgHrg65Tf27ijJNQvxhmk/edit?ts=5cd6cc3d#heading=h.ccyddmbcnd1g","Role-based reviewing")</f>
        <v>Role-based reviewing</v>
      </c>
      <c r="D287" s="278" t="s">
        <v>1581</v>
      </c>
      <c r="E287" s="280" t="s">
        <v>1582</v>
      </c>
      <c r="F287" s="105"/>
      <c r="I287" s="105"/>
      <c r="J287" s="105"/>
      <c r="K287" s="89" t="s">
        <v>1583</v>
      </c>
      <c r="L287" s="281"/>
      <c r="M287" s="89" t="s">
        <v>1584</v>
      </c>
    </row>
    <row r="288">
      <c r="B288" s="278" t="s">
        <v>1585</v>
      </c>
      <c r="C288" s="279" t="str">
        <f t="shared" ref="C288:C289" si="12">HYPERLINK("https://docs.google.com/document/d/1WYiXxhYyycp9a3I0GTC-4KFgHrg65Tf27ijJNQvxhmk/edit?ts=5cd6cc3d#heading=h.t3vihdsvif1y","Timestamps for students' submissions")</f>
        <v>Timestamps for students' submissions</v>
      </c>
      <c r="D288" s="278"/>
      <c r="E288" s="284" t="s">
        <v>1586</v>
      </c>
      <c r="F288" s="63"/>
      <c r="I288" s="63"/>
      <c r="J288" s="63"/>
      <c r="K288" s="89"/>
      <c r="L288" s="281"/>
      <c r="M288" s="89" t="s">
        <v>1587</v>
      </c>
    </row>
    <row r="289">
      <c r="B289" s="278" t="s">
        <v>1588</v>
      </c>
      <c r="C289" s="279" t="str">
        <f t="shared" si="12"/>
        <v>Timestamps for students' submissions</v>
      </c>
      <c r="D289" s="278"/>
      <c r="E289" s="284" t="s">
        <v>1589</v>
      </c>
      <c r="F289" s="63" t="s">
        <v>18</v>
      </c>
      <c r="I289" s="63"/>
      <c r="J289" s="63"/>
      <c r="K289" s="89" t="s">
        <v>1590</v>
      </c>
      <c r="L289" s="281"/>
      <c r="M289" s="89" t="s">
        <v>1591</v>
      </c>
    </row>
    <row r="290">
      <c r="B290" s="278" t="s">
        <v>1592</v>
      </c>
      <c r="C290" s="279" t="str">
        <f>HYPERLINK("https://docs.google.com/document/d/1WYiXxhYyycp9a3I0GTC-4KFgHrg65Tf27ijJNQvxhmk/edit?ts=5cd6cc3d#heading=h.edeqaouajdrp","Unify Create Assignment and Edit Assignment pages")</f>
        <v>Unify Create Assignment and Edit Assignment pages</v>
      </c>
      <c r="D290" s="278" t="s">
        <v>1593</v>
      </c>
      <c r="E290" s="280" t="s">
        <v>1594</v>
      </c>
      <c r="F290" s="63" t="s">
        <v>18</v>
      </c>
      <c r="I290" s="63"/>
      <c r="J290" s="63"/>
      <c r="K290" s="89" t="s">
        <v>1595</v>
      </c>
      <c r="L290" s="281"/>
      <c r="M290" s="89" t="s">
        <v>1596</v>
      </c>
    </row>
    <row r="291">
      <c r="B291" s="278" t="s">
        <v>1597</v>
      </c>
      <c r="C291" s="279" t="str">
        <f>HYPERLINK("https://docs.google.com/document/d/1WYiXxhYyycp9a3I0GTC-4KFgHrg65Tf27ijJNQvxhmk/edit?ts=5cd6cc3d#heading=h.smsn92ion1nv","Single signon for Peerlogic web services (WS intergration)")</f>
        <v>Single signon for Peerlogic web services (WS intergration)</v>
      </c>
      <c r="D291" s="278" t="s">
        <v>1598</v>
      </c>
      <c r="E291" s="280" t="s">
        <v>1599</v>
      </c>
      <c r="F291" s="105"/>
      <c r="I291" s="105"/>
      <c r="J291" s="105"/>
      <c r="K291" s="89" t="s">
        <v>1600</v>
      </c>
      <c r="L291" s="281"/>
      <c r="M291" s="89" t="s">
        <v>1601</v>
      </c>
    </row>
    <row r="292">
      <c r="B292" s="278" t="s">
        <v>1602</v>
      </c>
      <c r="C292" s="279" t="str">
        <f>HYPERLINK("https://docs.google.com/document/d/1WYiXxhYyycp9a3I0GTC-4KFgHrg65Tf27ijJNQvxhmk/edit?ts=5cd6cc3d#heading=h.qkb3xsnl0kqr","Student-generated questions added to rubric")</f>
        <v>Student-generated questions added to rubric</v>
      </c>
      <c r="D292" s="278" t="s">
        <v>1603</v>
      </c>
      <c r="E292" s="280" t="s">
        <v>1604</v>
      </c>
      <c r="F292" s="105"/>
      <c r="I292" s="105"/>
      <c r="J292" s="105"/>
      <c r="K292" s="89" t="s">
        <v>1605</v>
      </c>
      <c r="L292" s="281"/>
      <c r="M292" s="89" t="s">
        <v>1606</v>
      </c>
    </row>
    <row r="293">
      <c r="B293" s="278" t="s">
        <v>1607</v>
      </c>
      <c r="C293" s="279" t="str">
        <f t="shared" ref="C293:C294" si="13">HYPERLINK("https://docs.google.com/document/d/1WYiXxhYyycp9a3I0GTC-4KFgHrg65Tf27ijJNQvxhmk/edit?ts=5cd6cc3d#heading=h.8aksr25aap3n","Help students find teams to join")</f>
        <v>Help students find teams to join</v>
      </c>
      <c r="D293" s="278"/>
      <c r="E293" s="284" t="s">
        <v>1608</v>
      </c>
      <c r="F293" s="63"/>
      <c r="I293" s="63"/>
      <c r="J293" s="63"/>
      <c r="K293" s="89"/>
      <c r="L293" s="281"/>
      <c r="M293" s="89" t="s">
        <v>1609</v>
      </c>
    </row>
    <row r="294">
      <c r="B294" s="278" t="s">
        <v>1610</v>
      </c>
      <c r="C294" s="279" t="str">
        <f t="shared" si="13"/>
        <v>Help students find teams to join</v>
      </c>
      <c r="D294" s="278"/>
      <c r="E294" s="280" t="s">
        <v>1611</v>
      </c>
      <c r="F294" s="63" t="s">
        <v>1612</v>
      </c>
      <c r="I294" s="63"/>
      <c r="J294" s="63"/>
      <c r="K294" s="89" t="s">
        <v>1613</v>
      </c>
      <c r="L294" s="281"/>
      <c r="M294" s="89" t="s">
        <v>1614</v>
      </c>
    </row>
    <row r="295">
      <c r="B295" s="278" t="s">
        <v>1615</v>
      </c>
      <c r="C295" s="279" t="str">
        <f>HYPERLINK("https://docs.google.com/document/d/1WYiXxhYyycp9a3I0GTC-4KFgHrg65Tf27ijJNQvxhmk/edit?ts=5cd6cc3d#heading=h.y7y5c9hv1pbo","Visualizations for instructors")</f>
        <v>Visualizations for instructors</v>
      </c>
      <c r="D295" s="278" t="s">
        <v>1616</v>
      </c>
      <c r="E295" s="280" t="s">
        <v>1617</v>
      </c>
      <c r="F295" s="105"/>
      <c r="I295" s="105"/>
      <c r="J295" s="105"/>
      <c r="K295" s="89" t="s">
        <v>1618</v>
      </c>
      <c r="L295" s="281"/>
      <c r="M295" s="89" t="s">
        <v>1619</v>
      </c>
    </row>
    <row r="296">
      <c r="B296" s="278" t="s">
        <v>1620</v>
      </c>
      <c r="C296" s="279" t="str">
        <f>HYPERLINK("https://docs.google.com/document/d/1WYiXxhYyycp9a3I0GTC-4KFgHrg65Tf27ijJNQvxhmk/edit?ts=5cd6cc3d#heading=h.6ys9jxkx4b4k","Track the time that students look at the other submissions --&gt; logging improvement")</f>
        <v>Track the time that students look at the other submissions --&gt; logging improvement</v>
      </c>
      <c r="D296" s="278" t="s">
        <v>1621</v>
      </c>
      <c r="E296" s="280" t="s">
        <v>1622</v>
      </c>
      <c r="F296" s="105"/>
      <c r="I296" s="105"/>
      <c r="J296" s="105"/>
      <c r="K296" s="89" t="s">
        <v>1623</v>
      </c>
      <c r="L296" s="281"/>
      <c r="M296" s="89" t="s">
        <v>1624</v>
      </c>
    </row>
    <row r="297">
      <c r="B297" s="278" t="s">
        <v>1625</v>
      </c>
      <c r="C297" s="279" t="str">
        <f>HYPERLINK("https://docs.google.com/document/d/1WYiXxhYyycp9a3I0GTC-4KFgHrg65Tf27ijJNQvxhmk/edit?ts=5cd6cc3d#heading=h.x812ivqjq1g","Text metrics (redo in Zach's framework)")</f>
        <v>Text metrics (redo in Zach's framework)</v>
      </c>
      <c r="D297" s="278" t="s">
        <v>1626</v>
      </c>
      <c r="E297" s="280" t="s">
        <v>1627</v>
      </c>
      <c r="F297" s="105"/>
      <c r="I297" s="105"/>
      <c r="J297" s="105"/>
      <c r="K297" s="89" t="s">
        <v>1628</v>
      </c>
      <c r="L297" s="281"/>
      <c r="M297" s="89" t="s">
        <v>1629</v>
      </c>
    </row>
    <row r="298">
      <c r="A298" s="277"/>
      <c r="B298" s="278" t="s">
        <v>1630</v>
      </c>
      <c r="C298" s="284" t="s">
        <v>1631</v>
      </c>
      <c r="D298" s="278" t="s">
        <v>1632</v>
      </c>
      <c r="E298" s="280" t="s">
        <v>1633</v>
      </c>
      <c r="F298" s="63" t="s">
        <v>1634</v>
      </c>
      <c r="I298" s="63">
        <v>94.0</v>
      </c>
      <c r="J298" s="63">
        <v>95.0</v>
      </c>
      <c r="K298" s="89" t="s">
        <v>1635</v>
      </c>
      <c r="L298" s="281"/>
      <c r="M298" s="89" t="s">
        <v>1636</v>
      </c>
    </row>
    <row r="299">
      <c r="A299" s="93" t="s">
        <v>1637</v>
      </c>
      <c r="B299" s="234" t="s">
        <v>1638</v>
      </c>
      <c r="C299" s="235" t="str">
        <f>HYPERLINK("https://docs.google.com/document/d/1rdolBAHxVGI9I0N-cT866AqnfORM2L1_m_bo2gRYRrI/edit?ts=5cd6cbb6#heading=h.bur1tr9r0k62","OSS project Maroon: Heatmap fixes")</f>
        <v>OSS project Maroon: Heatmap fixes</v>
      </c>
      <c r="D299" s="234" t="s">
        <v>1639</v>
      </c>
      <c r="E299" s="285" t="s">
        <v>1640</v>
      </c>
      <c r="F299" s="63" t="s">
        <v>18</v>
      </c>
      <c r="I299" s="63"/>
      <c r="J299" s="63"/>
      <c r="K299" s="156" t="s">
        <v>1641</v>
      </c>
      <c r="L299" s="286"/>
      <c r="M299" s="89" t="s">
        <v>1642</v>
      </c>
    </row>
    <row r="300">
      <c r="B300" s="234" t="s">
        <v>1643</v>
      </c>
      <c r="C300" s="235" t="str">
        <f>HYPERLINK("https://docs.google.com/document/d/1rdolBAHxVGI9I0N-cT866AqnfORM2L1_m_bo2gRYRrI/edit?ts=5cd6cbb6#heading=h.1py5787w2v78","OSS project Bronze: Score calculations")</f>
        <v>OSS project Bronze: Score calculations</v>
      </c>
      <c r="D300" s="234" t="s">
        <v>1644</v>
      </c>
      <c r="E300" s="285" t="s">
        <v>1645</v>
      </c>
      <c r="F300" s="105"/>
      <c r="I300" s="105"/>
      <c r="J300" s="105"/>
      <c r="K300" s="156" t="s">
        <v>1646</v>
      </c>
      <c r="L300" s="286"/>
      <c r="M300" s="89" t="s">
        <v>1647</v>
      </c>
    </row>
    <row r="301">
      <c r="B301" s="234" t="s">
        <v>1648</v>
      </c>
      <c r="C301" s="235" t="str">
        <f>HYPERLINK("https://docs.google.com/document/d/1rdolBAHxVGI9I0N-cT866AqnfORM2L1_m_bo2gRYRrI/edit?ts=5cd6cbb6#heading=h.j8f044rqy51w","OSS Project Juniper: Bookmark enhancements")</f>
        <v>OSS Project Juniper: Bookmark enhancements</v>
      </c>
      <c r="D301" s="234" t="s">
        <v>1649</v>
      </c>
      <c r="E301" s="285" t="s">
        <v>1650</v>
      </c>
      <c r="F301" s="105"/>
      <c r="I301" s="105"/>
      <c r="J301" s="105"/>
      <c r="K301" s="156" t="s">
        <v>1651</v>
      </c>
      <c r="L301" s="286"/>
      <c r="M301" s="89" t="s">
        <v>1652</v>
      </c>
    </row>
    <row r="302">
      <c r="B302" s="234" t="s">
        <v>1653</v>
      </c>
      <c r="C302" s="235" t="str">
        <f>HYPERLINK("https://docs.google.com/document/d/1rdolBAHxVGI9I0N-cT866AqnfORM2L1_m_bo2gRYRrI/edit?ts=5cd6cbb6#heading=h.u8evl5ecfy1l","OSS project Beige: UI features related to revision time.")</f>
        <v>OSS project Beige: UI features related to revision time.</v>
      </c>
      <c r="D302" s="234" t="s">
        <v>1654</v>
      </c>
      <c r="E302" s="285" t="s">
        <v>1655</v>
      </c>
      <c r="F302" s="105"/>
      <c r="I302" s="105"/>
      <c r="J302" s="105"/>
      <c r="K302" s="156" t="s">
        <v>1656</v>
      </c>
      <c r="L302" s="286"/>
      <c r="M302" s="89" t="s">
        <v>1657</v>
      </c>
    </row>
    <row r="303">
      <c r="B303" s="234" t="s">
        <v>1658</v>
      </c>
      <c r="C303" s="235" t="str">
        <f>HYPERLINK("https://docs.google.com/document/d/1rdolBAHxVGI9I0N-cT866AqnfORM2L1_m_bo2gRYRrI/edit?ts=5cd6cbb6#heading=h.cmdxryxxr61f","Fix mass assignments reported by Brakeman")</f>
        <v>Fix mass assignments reported by Brakeman</v>
      </c>
      <c r="D303" s="234" t="s">
        <v>1659</v>
      </c>
      <c r="E303" s="285" t="s">
        <v>1660</v>
      </c>
      <c r="F303" s="105"/>
      <c r="I303" s="105"/>
      <c r="J303" s="105"/>
      <c r="K303" s="156" t="s">
        <v>1661</v>
      </c>
      <c r="L303" s="286"/>
      <c r="M303" s="89" t="s">
        <v>1662</v>
      </c>
    </row>
    <row r="304">
      <c r="B304" s="234" t="s">
        <v>1663</v>
      </c>
      <c r="C304" s="235" t="str">
        <f>HYPERLINK("https://docs.google.com/document/d/1rdolBAHxVGI9I0N-cT866AqnfORM2L1_m_bo2gRYRrI/edit?ts=5cd6cbb6#heading=h.2tax41dd9baz","Convolutional data extraction from Github")</f>
        <v>Convolutional data extraction from Github</v>
      </c>
      <c r="D304" s="234" t="s">
        <v>1664</v>
      </c>
      <c r="E304" s="285" t="s">
        <v>1665</v>
      </c>
      <c r="F304" s="105"/>
      <c r="I304" s="105"/>
      <c r="J304" s="105"/>
      <c r="K304" s="156" t="s">
        <v>1666</v>
      </c>
      <c r="L304" s="286"/>
      <c r="M304" s="89" t="s">
        <v>1667</v>
      </c>
    </row>
    <row r="305">
      <c r="B305" s="234" t="s">
        <v>1668</v>
      </c>
      <c r="C305" s="235" t="str">
        <f>HYPERLINK("https://docs.google.com/document/d/1rdolBAHxVGI9I0N-cT866AqnfORM2L1_m_bo2gRYRrI/edit?ts=5cd6cbb6#heading=h.9d5avf6ys8xw","OSS Project Red: Assignment directories")</f>
        <v>OSS Project Red: Assignment directories</v>
      </c>
      <c r="D305" s="234" t="s">
        <v>1669</v>
      </c>
      <c r="E305" s="285" t="s">
        <v>1670</v>
      </c>
      <c r="F305" s="105"/>
      <c r="I305" s="105"/>
      <c r="J305" s="105"/>
      <c r="K305" s="156" t="s">
        <v>1671</v>
      </c>
      <c r="L305" s="286"/>
      <c r="M305" s="89" t="s">
        <v>1672</v>
      </c>
    </row>
    <row r="306">
      <c r="B306" s="234" t="s">
        <v>1673</v>
      </c>
      <c r="C306" s="235" t="str">
        <f>HYPERLINK("https://docs.google.com/document/d/1rdolBAHxVGI9I0N-cT866AqnfORM2L1_m_bo2gRYRrI/edit?ts=5cd6cbb6#heading=h.3vdcy026vrdu","OSS project Yellow: Topic management")</f>
        <v>OSS project Yellow: Topic management</v>
      </c>
      <c r="D306" s="234" t="s">
        <v>1674</v>
      </c>
      <c r="E306" s="285" t="s">
        <v>1675</v>
      </c>
      <c r="F306" s="105"/>
      <c r="I306" s="105"/>
      <c r="J306" s="105"/>
      <c r="K306" s="156" t="s">
        <v>1676</v>
      </c>
      <c r="L306" s="286"/>
      <c r="M306" s="89" t="s">
        <v>1677</v>
      </c>
    </row>
    <row r="307">
      <c r="B307" s="234" t="s">
        <v>1678</v>
      </c>
      <c r="C307" s="235" t="str">
        <f>HYPERLINK("https://docs.google.com/document/d/1rdolBAHxVGI9I0N-cT866AqnfORM2L1_m_bo2gRYRrI/edit?ts=5cd6cbb6#heading=h.o7xl8vec4c7q","OSS project Teal: Email notification enhancements")</f>
        <v>OSS project Teal: Email notification enhancements</v>
      </c>
      <c r="D307" s="234" t="s">
        <v>1679</v>
      </c>
      <c r="E307" s="285" t="s">
        <v>1680</v>
      </c>
      <c r="F307" s="105"/>
      <c r="I307" s="105"/>
      <c r="J307" s="105"/>
      <c r="K307" s="156" t="s">
        <v>1681</v>
      </c>
      <c r="L307" s="286"/>
      <c r="M307" s="89" t="s">
        <v>1682</v>
      </c>
    </row>
    <row r="308">
      <c r="B308" s="234" t="s">
        <v>1683</v>
      </c>
      <c r="C308" s="235" t="str">
        <f>HYPERLINK("https://docs.google.com/document/d/1rdolBAHxVGI9I0N-cT866AqnfORM2L1_m_bo2gRYRrI/edit?ts=5cd6cbb6#heading=h.yaodnlqemtd0","OSS Burgundy: Fix teammate advertisements and requests to join a team")</f>
        <v>OSS Burgundy: Fix teammate advertisements and requests to join a team</v>
      </c>
      <c r="D308" s="234" t="s">
        <v>1684</v>
      </c>
      <c r="E308" s="285" t="s">
        <v>1685</v>
      </c>
      <c r="F308" s="105"/>
      <c r="I308" s="105"/>
      <c r="J308" s="105"/>
      <c r="K308" s="156" t="s">
        <v>1686</v>
      </c>
      <c r="L308" s="286"/>
      <c r="M308" s="89" t="s">
        <v>1687</v>
      </c>
    </row>
    <row r="309">
      <c r="B309" s="234" t="s">
        <v>1688</v>
      </c>
      <c r="C309" s="235" t="str">
        <f>HYPERLINK("https://docs.google.com/document/d/1rdolBAHxVGI9I0N-cT866AqnfORM2L1_m_bo2gRYRrI/edit?ts=5cd6cbb6#heading=h.vq8wmep2eon5","OSS project Purple: UI fixes for assignment creation")</f>
        <v>OSS project Purple: UI fixes for assignment creation</v>
      </c>
      <c r="D309" s="234" t="s">
        <v>1689</v>
      </c>
      <c r="E309" s="287" t="s">
        <v>1690</v>
      </c>
      <c r="F309" s="63" t="s">
        <v>18</v>
      </c>
      <c r="I309" s="63"/>
      <c r="J309" s="63"/>
      <c r="K309" s="156" t="s">
        <v>1691</v>
      </c>
      <c r="L309" s="286"/>
      <c r="M309" s="89" t="s">
        <v>1692</v>
      </c>
    </row>
    <row r="310">
      <c r="B310" s="234" t="s">
        <v>1693</v>
      </c>
      <c r="C310" s="235" t="str">
        <f>HYPERLINK("https://docs.google.com/document/d/1rdolBAHxVGI9I0N-cT866AqnfORM2L1_m_bo2gRYRrI/edit?ts=5cd6cbb6#heading=h.pn478thyy2dv","OSS Project Green: Coherent specification of review requirements")</f>
        <v>OSS Project Green: Coherent specification of review requirements</v>
      </c>
      <c r="D310" s="234" t="s">
        <v>1694</v>
      </c>
      <c r="E310" s="285" t="s">
        <v>1695</v>
      </c>
      <c r="F310" s="107" t="s">
        <v>18</v>
      </c>
      <c r="I310" s="107"/>
      <c r="J310" s="107"/>
      <c r="K310" s="156" t="s">
        <v>1696</v>
      </c>
      <c r="L310" s="286"/>
      <c r="M310" s="89" t="s">
        <v>1697</v>
      </c>
    </row>
    <row r="311">
      <c r="B311" s="234" t="s">
        <v>1698</v>
      </c>
      <c r="C311" s="235" t="str">
        <f>HYPERLINK("https://docs.google.com/document/d/1rdolBAHxVGI9I0N-cT866AqnfORM2L1_m_bo2gRYRrI/edit?ts=5cd6cbb6#heading=h.1d8mmlqkwkq9","OSS project Carolina Blue: Import enhancements")</f>
        <v>OSS project Carolina Blue: Import enhancements</v>
      </c>
      <c r="D311" s="234" t="s">
        <v>1699</v>
      </c>
      <c r="E311" s="285" t="s">
        <v>1700</v>
      </c>
      <c r="F311" s="63" t="s">
        <v>18</v>
      </c>
      <c r="I311" s="63"/>
      <c r="J311" s="63"/>
      <c r="K311" s="156" t="s">
        <v>1701</v>
      </c>
      <c r="L311" s="286"/>
      <c r="M311" s="89" t="s">
        <v>1702</v>
      </c>
    </row>
    <row r="312">
      <c r="B312" s="228" t="s">
        <v>1703</v>
      </c>
      <c r="C312" s="229" t="str">
        <f>HYPERLINK("https://docs.google.com/document/d/1rdolBAHxVGI9I0N-cT866AqnfORM2L1_m_bo2gRYRrI/edit?ts=5cd6cbb6#heading=h.ycz6htrklm89","OSS project Duke Blue: Fix import glitches")</f>
        <v>OSS project Duke Blue: Fix import glitches</v>
      </c>
      <c r="D312" s="228" t="s">
        <v>23</v>
      </c>
      <c r="E312" s="232"/>
      <c r="F312" s="81" t="s">
        <v>1478</v>
      </c>
      <c r="G312" s="85"/>
      <c r="H312" s="85"/>
      <c r="I312" s="81"/>
      <c r="J312" s="81"/>
      <c r="K312" s="194"/>
      <c r="L312" s="195"/>
      <c r="M312" s="194"/>
    </row>
    <row r="313">
      <c r="B313" s="234" t="s">
        <v>1704</v>
      </c>
      <c r="C313" s="235" t="str">
        <f>HYPERLINK("https://docs.google.com/document/d/1rdolBAHxVGI9I0N-cT866AqnfORM2L1_m_bo2gRYRrI/edit?ts=5cd6cbb6#heading=h.o48eu8dow03h","OSS project Pink: Metareview fixes and improvements")</f>
        <v>OSS project Pink: Metareview fixes and improvements</v>
      </c>
      <c r="D313" s="234" t="s">
        <v>1705</v>
      </c>
      <c r="E313" s="285" t="s">
        <v>1706</v>
      </c>
      <c r="F313" s="63" t="s">
        <v>18</v>
      </c>
      <c r="I313" s="63"/>
      <c r="J313" s="63"/>
      <c r="K313" s="156" t="s">
        <v>1707</v>
      </c>
      <c r="L313" s="286"/>
      <c r="M313" s="89" t="s">
        <v>1708</v>
      </c>
    </row>
    <row r="314">
      <c r="B314" s="234" t="s">
        <v>1709</v>
      </c>
      <c r="C314" s="235" t="str">
        <f>HYPERLINK("https://docs.google.com/document/d/1rdolBAHxVGI9I0N-cT866AqnfORM2L1_m_bo2gRYRrI/edit?ts=5cd6cbb6#heading=h.188ae7ig94mi","Investigate and Fix Expertiza Production Version Runtime Exceptions")</f>
        <v>Investigate and Fix Expertiza Production Version Runtime Exceptions</v>
      </c>
      <c r="D314" s="234" t="s">
        <v>1710</v>
      </c>
      <c r="E314" s="285" t="s">
        <v>1711</v>
      </c>
      <c r="F314" s="63" t="s">
        <v>18</v>
      </c>
      <c r="I314" s="63"/>
      <c r="J314" s="63"/>
      <c r="K314" s="156" t="s">
        <v>1712</v>
      </c>
      <c r="L314" s="286"/>
      <c r="M314" s="89" t="s">
        <v>1713</v>
      </c>
    </row>
    <row r="315">
      <c r="B315" s="234" t="s">
        <v>1714</v>
      </c>
      <c r="C315" s="235" t="str">
        <f>HYPERLINK("https://docs.google.com/document/d/1rdolBAHxVGI9I0N-cT866AqnfORM2L1_m_bo2gRYRrI/edit?ts=5cd6cbb6#heading=h.ghr6ylfvx1zp","Refactor reputation_web_service_controller.rb")</f>
        <v>Refactor reputation_web_service_controller.rb</v>
      </c>
      <c r="D315" s="234" t="s">
        <v>1715</v>
      </c>
      <c r="E315" s="285" t="s">
        <v>1716</v>
      </c>
      <c r="F315" s="63" t="s">
        <v>18</v>
      </c>
      <c r="I315" s="63"/>
      <c r="J315" s="63"/>
      <c r="K315" s="156" t="s">
        <v>1717</v>
      </c>
      <c r="L315" s="286"/>
      <c r="M315" s="89" t="s">
        <v>1718</v>
      </c>
    </row>
    <row r="316">
      <c r="B316" s="234" t="s">
        <v>1719</v>
      </c>
      <c r="C316" s="235" t="str">
        <f>HYPERLINK("https://docs.google.com/document/d/1rdolBAHxVGI9I0N-cT866AqnfORM2L1_m_bo2gRYRrI/edit?ts=5cd6cbb6#heading=h.ywpz0wv3wlni","[Test Last Development] Refactor team.rb")</f>
        <v>[Test Last Development] Refactor team.rb</v>
      </c>
      <c r="D316" s="234" t="s">
        <v>1720</v>
      </c>
      <c r="E316" s="285" t="s">
        <v>1721</v>
      </c>
      <c r="F316" s="63" t="s">
        <v>18</v>
      </c>
      <c r="I316" s="63"/>
      <c r="J316" s="63"/>
      <c r="K316" s="156" t="s">
        <v>1722</v>
      </c>
      <c r="L316" s="286"/>
      <c r="M316" s="89" t="s">
        <v>1723</v>
      </c>
    </row>
    <row r="317">
      <c r="B317" s="234" t="s">
        <v>1724</v>
      </c>
      <c r="C317" s="235" t="str">
        <f>HYPERLINK("https://docs.google.com/document/d/1rdolBAHxVGI9I0N-cT866AqnfORM2L1_m_bo2gRYRrI/edit?ts=5cd6cbb6#heading=h.s18ldps2kz5e","[Test First Development] Refactor assignment_participant.rb")</f>
        <v>[Test First Development] Refactor assignment_participant.rb</v>
      </c>
      <c r="D317" s="234" t="s">
        <v>1725</v>
      </c>
      <c r="E317" s="285" t="s">
        <v>1726</v>
      </c>
      <c r="F317" s="63" t="s">
        <v>18</v>
      </c>
      <c r="I317" s="63"/>
      <c r="J317" s="63"/>
      <c r="K317" s="156" t="s">
        <v>1727</v>
      </c>
      <c r="L317" s="286"/>
      <c r="M317" s="89" t="s">
        <v>1728</v>
      </c>
    </row>
    <row r="318">
      <c r="B318" s="234" t="s">
        <v>1729</v>
      </c>
      <c r="C318" s="235" t="str">
        <f>HYPERLINK("https://docs.google.com/document/d/1rdolBAHxVGI9I0N-cT866AqnfORM2L1_m_bo2gRYRrI/edit?ts=5cd6cbb6#heading=h.tp6322oibwxj","[Test Last Development] Refactor assignment_form.rb")</f>
        <v>[Test Last Development] Refactor assignment_form.rb</v>
      </c>
      <c r="D318" s="234" t="s">
        <v>1730</v>
      </c>
      <c r="E318" s="285" t="s">
        <v>1731</v>
      </c>
      <c r="F318" s="63" t="s">
        <v>1263</v>
      </c>
      <c r="I318" s="63"/>
      <c r="J318" s="63"/>
      <c r="K318" s="156" t="s">
        <v>1732</v>
      </c>
      <c r="L318" s="286"/>
      <c r="M318" s="89" t="s">
        <v>1733</v>
      </c>
    </row>
    <row r="319">
      <c r="B319" s="228" t="s">
        <v>1734</v>
      </c>
      <c r="C319" s="229" t="str">
        <f>HYPERLINK("https://docs.google.com/document/d/1rdolBAHxVGI9I0N-cT866AqnfORM2L1_m_bo2gRYRrI/edit?ts=5cd6cbb6#heading=h.2z18m667f3gf","Test e-mailing functionality")</f>
        <v>Test e-mailing functionality</v>
      </c>
      <c r="D319" s="228" t="s">
        <v>23</v>
      </c>
      <c r="E319" s="232"/>
      <c r="F319" s="81" t="s">
        <v>1478</v>
      </c>
      <c r="G319" s="85"/>
      <c r="H319" s="85"/>
      <c r="I319" s="81"/>
      <c r="J319" s="81"/>
      <c r="K319" s="172" t="s">
        <v>1735</v>
      </c>
      <c r="L319" s="195"/>
      <c r="M319" s="194"/>
    </row>
    <row r="320">
      <c r="B320" s="234" t="s">
        <v>1736</v>
      </c>
      <c r="C320" s="235" t="str">
        <f>HYPERLINK("https://docs.google.com/document/d/1rdolBAHxVGI9I0N-cT866AqnfORM2L1_m_bo2gRYRrI/edit?ts=5cd6cbb6#heading=h.fyqrxopm9t7m","Improve imports")</f>
        <v>Improve imports</v>
      </c>
      <c r="D320" s="234" t="s">
        <v>1737</v>
      </c>
      <c r="E320" s="285" t="s">
        <v>1738</v>
      </c>
      <c r="F320" s="107" t="s">
        <v>18</v>
      </c>
      <c r="I320" s="107"/>
      <c r="J320" s="107"/>
      <c r="K320" s="156" t="s">
        <v>1739</v>
      </c>
      <c r="L320" s="286"/>
      <c r="M320" s="89" t="s">
        <v>1740</v>
      </c>
    </row>
    <row r="321">
      <c r="B321" s="234" t="s">
        <v>1741</v>
      </c>
      <c r="C321" s="235" t="str">
        <f>HYPERLINK("https://docs.google.com/document/d/1rdolBAHxVGI9I0N-cT866AqnfORM2L1_m_bo2gRYRrI/edit?ts=5cd6cbb6#heading=h.j8tbnoomegy2","Test team functionality")</f>
        <v>Test team functionality</v>
      </c>
      <c r="D321" s="234" t="s">
        <v>1742</v>
      </c>
      <c r="E321" s="285" t="s">
        <v>1743</v>
      </c>
      <c r="F321" s="105"/>
      <c r="I321" s="105"/>
      <c r="J321" s="105"/>
      <c r="K321" s="156" t="s">
        <v>1744</v>
      </c>
      <c r="L321" s="286"/>
      <c r="M321" s="89" t="s">
        <v>1745</v>
      </c>
    </row>
    <row r="322">
      <c r="B322" s="234" t="s">
        <v>1746</v>
      </c>
      <c r="C322" s="235" t="str">
        <f>HYPERLINK("https://docs.google.com/document/d/1rdolBAHxVGI9I0N-cT866AqnfORM2L1_m_bo2gRYRrI/edit?ts=5cd6cbb6#heading=h.lqtq0nh0r9g5","[OSS project Brown: was E1715, should be updated] Rubrics")</f>
        <v>[OSS project Brown: was E1715, should be updated] Rubrics</v>
      </c>
      <c r="D322" s="234" t="s">
        <v>1747</v>
      </c>
      <c r="E322" s="285" t="s">
        <v>1748</v>
      </c>
      <c r="F322" s="63" t="s">
        <v>18</v>
      </c>
      <c r="I322" s="63"/>
      <c r="J322" s="63"/>
      <c r="K322" s="92"/>
      <c r="L322" s="286"/>
      <c r="M322" s="89" t="s">
        <v>1749</v>
      </c>
    </row>
    <row r="323">
      <c r="B323" s="234" t="s">
        <v>1750</v>
      </c>
      <c r="C323" s="235" t="str">
        <f>HYPERLINK("https://docs.google.com/document/d/1rdolBAHxVGI9I0N-cT866AqnfORM2L1_m_bo2gRYRrI/edit?ts=5cd6cbb6#heading=h.tyxr8dkf45bt","[Test Last Development] Refactor grades_controller.rb")</f>
        <v>[Test Last Development] Refactor grades_controller.rb</v>
      </c>
      <c r="D323" s="234" t="s">
        <v>1751</v>
      </c>
      <c r="E323" s="285" t="s">
        <v>1752</v>
      </c>
      <c r="F323" s="105"/>
      <c r="I323" s="105"/>
      <c r="J323" s="105"/>
      <c r="K323" s="156" t="s">
        <v>1753</v>
      </c>
      <c r="L323" s="286"/>
      <c r="M323" s="89" t="s">
        <v>1754</v>
      </c>
    </row>
    <row r="324">
      <c r="B324" s="234" t="s">
        <v>1755</v>
      </c>
      <c r="C324" s="235" t="str">
        <f>HYPERLINK("https://docs.google.com/document/d/1rdolBAHxVGI9I0N-cT866AqnfORM2L1_m_bo2gRYRrI/edit?ts=5cd6cbb6#heading=h.dqaozdwizfmz","Fix staggered-deadline assignments")</f>
        <v>Fix staggered-deadline assignments</v>
      </c>
      <c r="D324" s="234" t="s">
        <v>1756</v>
      </c>
      <c r="E324" s="285" t="s">
        <v>1757</v>
      </c>
      <c r="F324" s="107" t="s">
        <v>1758</v>
      </c>
      <c r="I324" s="107"/>
      <c r="J324" s="107"/>
      <c r="K324" s="156" t="s">
        <v>1759</v>
      </c>
      <c r="L324" s="286"/>
      <c r="M324" s="89" t="s">
        <v>1760</v>
      </c>
    </row>
    <row r="325">
      <c r="B325" s="234" t="s">
        <v>1761</v>
      </c>
      <c r="C325" s="235" t="str">
        <f>HYPERLINK("https://docs.google.com/document/d/1rdolBAHxVGI9I0N-cT866AqnfORM2L1_m_bo2gRYRrI/edit?ts=5cd6cbb6#heading=h.od2zuioovur8","Test various kinds of response-map hierarchies")</f>
        <v>Test various kinds of response-map hierarchies</v>
      </c>
      <c r="D325" s="234" t="s">
        <v>1762</v>
      </c>
      <c r="E325" s="285" t="s">
        <v>1763</v>
      </c>
      <c r="F325" s="105"/>
      <c r="I325" s="105"/>
      <c r="J325" s="105"/>
      <c r="K325" s="288" t="s">
        <v>1764</v>
      </c>
      <c r="L325" s="286"/>
      <c r="M325" s="89" t="s">
        <v>1765</v>
      </c>
    </row>
    <row r="326">
      <c r="B326" s="234" t="s">
        <v>1766</v>
      </c>
      <c r="C326" s="235" t="str">
        <f>HYPERLINK("https://docs.google.com/document/d/1rdolBAHxVGI9I0N-cT866AqnfORM2L1_m_bo2gRYRrI/edit?ts=5cd6cbb6#heading=h.f567b1a2tn0","[Test First Development] Refactor assignment.rb")</f>
        <v>[Test First Development] Refactor assignment.rb</v>
      </c>
      <c r="D326" s="234" t="s">
        <v>1767</v>
      </c>
      <c r="E326" s="285" t="s">
        <v>1768</v>
      </c>
      <c r="F326" s="63" t="s">
        <v>1263</v>
      </c>
      <c r="I326" s="63"/>
      <c r="J326" s="63"/>
      <c r="K326" s="156" t="s">
        <v>1769</v>
      </c>
      <c r="L326" s="286"/>
      <c r="M326" s="89" t="s">
        <v>1770</v>
      </c>
    </row>
    <row r="327">
      <c r="B327" s="289" t="s">
        <v>1771</v>
      </c>
      <c r="C327" s="290" t="str">
        <f>HYPERLINK("https://docs.google.com/document/d/1rdolBAHxVGI9I0N-cT866AqnfORM2L1_m_bo2gRYRrI/edit?ts=5cd6cbb6#heading=h.t6muzom29061","Test ta.rb, instructor.rb, and users_controller.rb")</f>
        <v>Test ta.rb, instructor.rb, and users_controller.rb</v>
      </c>
      <c r="D327" s="289" t="s">
        <v>23</v>
      </c>
      <c r="E327" s="291"/>
      <c r="F327" s="292" t="s">
        <v>1478</v>
      </c>
      <c r="G327" s="293"/>
      <c r="H327" s="293"/>
      <c r="I327" s="292"/>
      <c r="J327" s="292"/>
      <c r="K327" s="294"/>
      <c r="L327" s="295"/>
      <c r="M327" s="294"/>
    </row>
    <row r="328">
      <c r="B328" s="234" t="s">
        <v>1772</v>
      </c>
      <c r="C328" s="235" t="str">
        <f>HYPERLINK("https://docs.google.com/document/d/1rdolBAHxVGI9I0N-cT866AqnfORM2L1_m_bo2gRYRrI/edit?ts=5cd6cbb6#heading=h.5pu7ysirf6ek","Test surveys and survey deployment")</f>
        <v>Test surveys and survey deployment</v>
      </c>
      <c r="D328" s="234" t="s">
        <v>1773</v>
      </c>
      <c r="E328" s="285" t="s">
        <v>1774</v>
      </c>
      <c r="F328" s="63" t="s">
        <v>18</v>
      </c>
      <c r="I328" s="63"/>
      <c r="J328" s="63"/>
      <c r="K328" s="156" t="s">
        <v>1775</v>
      </c>
      <c r="L328" s="286"/>
      <c r="M328" s="89" t="s">
        <v>1776</v>
      </c>
    </row>
    <row r="329">
      <c r="B329" s="234" t="s">
        <v>1777</v>
      </c>
      <c r="C329" s="235" t="str">
        <f>HYPERLINK("https://docs.google.com/document/d/1rdolBAHxVGI9I0N-cT866AqnfORM2L1_m_bo2gRYRrI/edit?ts=5cd6cbb6#heading=h.gotokttmnzv3","Improve e-mail notifications")</f>
        <v>Improve e-mail notifications</v>
      </c>
      <c r="D329" s="234" t="s">
        <v>1778</v>
      </c>
      <c r="E329" s="287" t="s">
        <v>1779</v>
      </c>
      <c r="F329" s="107" t="s">
        <v>1780</v>
      </c>
      <c r="I329" s="107"/>
      <c r="J329" s="107"/>
      <c r="K329" s="141" t="s">
        <v>1781</v>
      </c>
      <c r="L329" s="286"/>
      <c r="M329" s="89" t="s">
        <v>1782</v>
      </c>
    </row>
    <row r="330">
      <c r="B330" s="234" t="s">
        <v>1783</v>
      </c>
      <c r="C330" s="235" t="str">
        <f>HYPERLINK("https://docs.google.com/document/d/1rdolBAHxVGI9I0N-cT866AqnfORM2L1_m_bo2gRYRrI/edit?ts=5cd6cbb6#heading=h.onvryi5qchrp","Introduce a Student View for instructors")</f>
        <v>Introduce a Student View for instructors</v>
      </c>
      <c r="D330" s="234" t="s">
        <v>1784</v>
      </c>
      <c r="E330" s="285" t="s">
        <v>1785</v>
      </c>
      <c r="F330" s="105"/>
      <c r="I330" s="105"/>
      <c r="J330" s="105"/>
      <c r="K330" s="141" t="s">
        <v>1786</v>
      </c>
      <c r="L330" s="286"/>
      <c r="M330" s="89" t="s">
        <v>1787</v>
      </c>
    </row>
    <row r="331">
      <c r="B331" s="234" t="s">
        <v>1788</v>
      </c>
      <c r="C331" s="235" t="str">
        <f>HYPERLINK("https://docs.google.com/document/d/1rdolBAHxVGI9I0N-cT866AqnfORM2L1_m_bo2gRYRrI/edit?ts=5cd6cbb6#heading=h.h6qfq85a8iq4","[Test Last Development] Refactor response.rb")</f>
        <v>[Test Last Development] Refactor response.rb</v>
      </c>
      <c r="D331" s="234" t="s">
        <v>1789</v>
      </c>
      <c r="E331" s="285" t="s">
        <v>1790</v>
      </c>
      <c r="F331" s="63" t="s">
        <v>18</v>
      </c>
      <c r="I331" s="63"/>
      <c r="J331" s="63"/>
      <c r="K331" s="156" t="s">
        <v>1791</v>
      </c>
      <c r="L331" s="286"/>
      <c r="M331" s="89" t="s">
        <v>1792</v>
      </c>
    </row>
    <row r="332">
      <c r="B332" s="228" t="s">
        <v>1793</v>
      </c>
      <c r="C332" s="229" t="str">
        <f>HYPERLINK("https://docs.google.com/document/d/1rdolBAHxVGI9I0N-cT866AqnfORM2L1_m_bo2gRYRrI/edit?ts=5cd6cbb6#heading=h.g9q0emaea5te","Test student_task.rb and student_task_controller.rb")</f>
        <v>Test student_task.rb and student_task_controller.rb</v>
      </c>
      <c r="D332" s="228" t="s">
        <v>23</v>
      </c>
      <c r="E332" s="232"/>
      <c r="F332" s="81" t="s">
        <v>1478</v>
      </c>
      <c r="G332" s="85"/>
      <c r="H332" s="85"/>
      <c r="I332" s="81"/>
      <c r="J332" s="81"/>
      <c r="K332" s="194"/>
      <c r="L332" s="195"/>
      <c r="M332" s="194"/>
    </row>
    <row r="333">
      <c r="B333" s="234" t="s">
        <v>1794</v>
      </c>
      <c r="C333" s="235" t="str">
        <f>HYPERLINK("https://docs.google.com/document/d/1rdolBAHxVGI9I0N-cT866AqnfORM2L1_m_bo2gRYRrI/edit?ts=5cd6cbb6#heading=h.8m1o44tzf4p","Feature test of rubric advice")</f>
        <v>Feature test of rubric advice</v>
      </c>
      <c r="D333" s="234" t="s">
        <v>1795</v>
      </c>
      <c r="E333" s="285" t="s">
        <v>1796</v>
      </c>
      <c r="F333" s="105"/>
      <c r="I333" s="105"/>
      <c r="J333" s="105"/>
      <c r="K333" s="156" t="s">
        <v>1797</v>
      </c>
      <c r="L333" s="286"/>
      <c r="M333" s="89" t="s">
        <v>1798</v>
      </c>
    </row>
    <row r="334">
      <c r="B334" s="234" t="s">
        <v>1799</v>
      </c>
      <c r="C334" s="235" t="str">
        <f>HYPERLINK("https://docs.google.com/document/d/1rdolBAHxVGI9I0N-cT866AqnfORM2L1_m_bo2gRYRrI/edit?ts=5cd6cbb6#heading=h.zff1hy6ybmp2","Bidding tests")</f>
        <v>Bidding tests</v>
      </c>
      <c r="D334" s="234" t="s">
        <v>1800</v>
      </c>
      <c r="E334" s="285" t="s">
        <v>1801</v>
      </c>
      <c r="F334" s="105"/>
      <c r="I334" s="105"/>
      <c r="J334" s="105"/>
      <c r="K334" s="296" t="s">
        <v>1802</v>
      </c>
      <c r="L334" s="286"/>
      <c r="M334" s="297" t="s">
        <v>1803</v>
      </c>
    </row>
    <row r="335">
      <c r="B335" s="234" t="s">
        <v>1804</v>
      </c>
      <c r="C335" s="235" t="str">
        <f>HYPERLINK("https://docs.google.com/document/d/1rdolBAHxVGI9I0N-cT866AqnfORM2L1_m_bo2gRYRrI/edit?ts=5cd6cbb6#heading=h.fp29n14tm206","[Test First Development] Refactor assignments_controller.rb")</f>
        <v>[Test First Development] Refactor assignments_controller.rb</v>
      </c>
      <c r="D335" s="234" t="s">
        <v>1805</v>
      </c>
      <c r="E335" s="285" t="s">
        <v>1806</v>
      </c>
      <c r="F335" s="63" t="s">
        <v>18</v>
      </c>
      <c r="I335" s="63"/>
      <c r="J335" s="63"/>
      <c r="K335" s="296" t="s">
        <v>1807</v>
      </c>
      <c r="L335" s="286"/>
      <c r="M335" s="89" t="s">
        <v>1808</v>
      </c>
    </row>
    <row r="336">
      <c r="B336" s="228" t="s">
        <v>1809</v>
      </c>
      <c r="C336" s="229" t="str">
        <f>HYPERLINK("https://docs.google.com/document/d/1rdolBAHxVGI9I0N-cT866AqnfORM2L1_m_bo2gRYRrI/edit?ts=5cd6cbb6#heading=h.nyvx89cfgvzy","Test assignments_questionnaires")</f>
        <v>Test assignments_questionnaires</v>
      </c>
      <c r="D336" s="228" t="s">
        <v>23</v>
      </c>
      <c r="E336" s="232"/>
      <c r="F336" s="81" t="s">
        <v>1478</v>
      </c>
      <c r="G336" s="85"/>
      <c r="H336" s="85"/>
      <c r="I336" s="81"/>
      <c r="J336" s="81"/>
      <c r="K336" s="194"/>
      <c r="L336" s="195"/>
      <c r="M336" s="194"/>
    </row>
    <row r="337">
      <c r="B337" s="234" t="s">
        <v>1810</v>
      </c>
      <c r="C337" s="235" t="str">
        <f>HYPERLINK("https://docs.google.com/document/d/1rdolBAHxVGI9I0N-cT866AqnfORM2L1_m_bo2gRYRrI/edit?ts=5cd6cbb6#heading=h.zf0jstpskppk","[Test First Development] Refactor review_mapping_controller.rb")</f>
        <v>[Test First Development] Refactor review_mapping_controller.rb</v>
      </c>
      <c r="D337" s="234" t="s">
        <v>1811</v>
      </c>
      <c r="E337" s="285" t="s">
        <v>1812</v>
      </c>
      <c r="F337" s="105"/>
      <c r="I337" s="105"/>
      <c r="J337" s="105"/>
      <c r="K337" s="156" t="s">
        <v>1813</v>
      </c>
      <c r="L337" s="286"/>
      <c r="M337" s="89" t="s">
        <v>1814</v>
      </c>
    </row>
    <row r="338">
      <c r="B338" s="234" t="s">
        <v>1815</v>
      </c>
      <c r="C338" s="235" t="str">
        <f>HYPERLINK("https://docs.google.com/document/d/1rdolBAHxVGI9I0N-cT866AqnfORM2L1_m_bo2gRYRrI/edit?ts=5cd6cbb6#heading=h.9j7dd13fmxwm","[Test First Development] Refactor questionnaires_controller.rb")</f>
        <v>[Test First Development] Refactor questionnaires_controller.rb</v>
      </c>
      <c r="D338" s="234" t="s">
        <v>1816</v>
      </c>
      <c r="E338" s="285" t="s">
        <v>1817</v>
      </c>
      <c r="F338" s="105"/>
      <c r="I338" s="105"/>
      <c r="J338" s="105"/>
      <c r="K338" s="296" t="s">
        <v>1818</v>
      </c>
      <c r="L338" s="286"/>
      <c r="M338" s="297" t="s">
        <v>1819</v>
      </c>
    </row>
    <row r="339">
      <c r="B339" s="234" t="s">
        <v>1820</v>
      </c>
      <c r="C339" s="235" t="str">
        <f>HYPERLINK("https://docs.google.com/document/d/1rdolBAHxVGI9I0N-cT866AqnfORM2L1_m_bo2gRYRrI/edit?ts=5cd6cbb6#heading=h.hlf1b1o7p417","Add past-due assignments to task list")</f>
        <v>Add past-due assignments to task list</v>
      </c>
      <c r="D339" s="234" t="s">
        <v>1821</v>
      </c>
      <c r="E339" s="285" t="s">
        <v>1822</v>
      </c>
      <c r="F339" s="105"/>
      <c r="I339" s="105"/>
      <c r="J339" s="105"/>
      <c r="K339" s="298" t="s">
        <v>1823</v>
      </c>
      <c r="L339" s="286"/>
      <c r="M339" s="89" t="s">
        <v>1824</v>
      </c>
    </row>
    <row r="340">
      <c r="B340" s="234" t="s">
        <v>1825</v>
      </c>
      <c r="C340" s="235" t="str">
        <f>HYPERLINK("https://docs.google.com/document/d/1rdolBAHxVGI9I0N-cT866AqnfORM2L1_m_bo2gRYRrI/edit?ts=5cd6cbb6#","[Test Last Development] Refactor sign_up_sheet_controller.rb")</f>
        <v>[Test Last Development] Refactor sign_up_sheet_controller.rb</v>
      </c>
      <c r="D340" s="234" t="s">
        <v>1826</v>
      </c>
      <c r="E340" s="285" t="s">
        <v>1827</v>
      </c>
      <c r="F340" s="63" t="s">
        <v>1263</v>
      </c>
      <c r="I340" s="63"/>
      <c r="J340" s="63"/>
      <c r="K340" s="156" t="s">
        <v>1828</v>
      </c>
      <c r="L340" s="286"/>
      <c r="M340" s="89" t="s">
        <v>1829</v>
      </c>
    </row>
    <row r="341">
      <c r="B341" s="234" t="s">
        <v>1830</v>
      </c>
      <c r="C341" s="235" t="str">
        <f>HYPERLINK("https://docs.google.com/document/d/1rdolBAHxVGI9I0N-cT866AqnfORM2L1_m_bo2gRYRrI/edit?ts=5cd6cbb6#","[Test First Development] Refactor user.rb")</f>
        <v>[Test First Development] Refactor user.rb</v>
      </c>
      <c r="D341" s="234" t="s">
        <v>1831</v>
      </c>
      <c r="E341" s="285" t="s">
        <v>1832</v>
      </c>
      <c r="F341" s="63" t="s">
        <v>1263</v>
      </c>
      <c r="I341" s="63"/>
      <c r="J341" s="63"/>
      <c r="K341" s="156" t="s">
        <v>1833</v>
      </c>
      <c r="L341" s="286"/>
      <c r="M341" s="89" t="s">
        <v>1834</v>
      </c>
    </row>
    <row r="342">
      <c r="B342" s="234" t="s">
        <v>1835</v>
      </c>
      <c r="C342" s="235" t="str">
        <f>HYPERLINK("https://docs.google.com/document/d/1rdolBAHxVGI9I0N-cT866AqnfORM2L1_m_bo2gRYRrI/edit?ts=5cd6cbb6#","[Test Last Development] Refactor response_controller.rb")</f>
        <v>[Test Last Development] Refactor response_controller.rb</v>
      </c>
      <c r="D342" s="234" t="s">
        <v>1836</v>
      </c>
      <c r="E342" s="285" t="s">
        <v>1837</v>
      </c>
      <c r="F342" s="63" t="s">
        <v>1263</v>
      </c>
      <c r="I342" s="63"/>
      <c r="J342" s="63"/>
      <c r="K342" s="156" t="s">
        <v>1838</v>
      </c>
      <c r="L342" s="286"/>
      <c r="M342" s="89" t="s">
        <v>1839</v>
      </c>
    </row>
    <row r="343">
      <c r="A343" s="299" t="s">
        <v>1840</v>
      </c>
      <c r="B343" s="300" t="s">
        <v>1841</v>
      </c>
      <c r="C343" s="301" t="str">
        <f>HYPERLINK("https://docs.google.com/document/d/1_qAh9DkY9wHg2DtD0ZYmQGy96cwKbSzl4xBt44K2-dU/edit?ts=5cd6cc33#heading=h.1r94rd9xpqek","Github Metrics Integration")</f>
        <v>Github Metrics Integration</v>
      </c>
      <c r="D343" s="302"/>
      <c r="E343" s="303" t="s">
        <v>1842</v>
      </c>
      <c r="F343" s="105"/>
      <c r="I343" s="105"/>
      <c r="J343" s="105"/>
      <c r="K343" s="89" t="s">
        <v>1843</v>
      </c>
      <c r="L343" s="304"/>
      <c r="M343" s="89" t="s">
        <v>1844</v>
      </c>
    </row>
    <row r="344">
      <c r="B344" s="300" t="s">
        <v>1845</v>
      </c>
      <c r="C344" s="301" t="str">
        <f>HYPERLINK("https://docs.google.com/document/d/1_qAh9DkY9wHg2DtD0ZYmQGy96cwKbSzl4xBt44K2-dU/edit?ts=5cd6cc33#heading=h.yumirkff24w3","Click and impersonate")</f>
        <v>Click and impersonate</v>
      </c>
      <c r="D344" s="302"/>
      <c r="E344" s="305" t="s">
        <v>1846</v>
      </c>
      <c r="F344" s="63" t="s">
        <v>1263</v>
      </c>
      <c r="I344" s="63"/>
      <c r="J344" s="63"/>
      <c r="K344" s="89" t="s">
        <v>1847</v>
      </c>
      <c r="L344" s="304"/>
      <c r="M344" s="89" t="s">
        <v>1848</v>
      </c>
    </row>
    <row r="345">
      <c r="B345" s="300" t="s">
        <v>1849</v>
      </c>
      <c r="C345" s="301" t="str">
        <f>HYPERLINK("https://docs.google.com/document/d/1_qAh9DkY9wHg2DtD0ZYmQGy96cwKbSzl4xBt44K2-dU/edit?ts=5cd6cc33#heading=h.makinhrhf06","Visualizations for instructors")</f>
        <v>Visualizations for instructors</v>
      </c>
      <c r="D345" s="302"/>
      <c r="E345" s="305" t="s">
        <v>1850</v>
      </c>
      <c r="F345" s="105"/>
      <c r="I345" s="105"/>
      <c r="J345" s="105"/>
      <c r="K345" s="89" t="s">
        <v>1851</v>
      </c>
      <c r="L345" s="304"/>
      <c r="M345" s="89" t="s">
        <v>1852</v>
      </c>
    </row>
    <row r="346">
      <c r="B346" s="306" t="s">
        <v>1853</v>
      </c>
      <c r="C346" s="307" t="str">
        <f>HYPERLINK("https://docs.google.com/document/d/1_qAh9DkY9wHg2DtD0ZYmQGy96cwKbSzl4xBt44K2-dU/edit?ts=5cd6cc33#heading=h.hzs7wwf04ln3","Track the time that students look at the other submissions to indicate how much students learn from others' work")</f>
        <v>Track the time that students look at the other submissions to indicate how much students learn from others' work</v>
      </c>
      <c r="D346" s="308" t="s">
        <v>23</v>
      </c>
      <c r="E346" s="309"/>
      <c r="F346" s="310"/>
      <c r="G346" s="311"/>
      <c r="H346" s="311"/>
      <c r="I346" s="310"/>
      <c r="J346" s="310"/>
      <c r="K346" s="312"/>
      <c r="L346" s="313"/>
      <c r="M346" s="312"/>
    </row>
    <row r="347">
      <c r="B347" s="300" t="s">
        <v>1854</v>
      </c>
      <c r="C347" s="301" t="str">
        <f>HYPERLINK("https://docs.google.com/document/d/1_qAh9DkY9wHg2DtD0ZYmQGy96cwKbSzl4xBt44K2-dU/edit?ts=5cd6cc33#heading=h.oojp08gmgs7n","Lightweight badging system based on Credly")</f>
        <v>Lightweight badging system based on Credly</v>
      </c>
      <c r="D347" s="302"/>
      <c r="E347" s="305" t="s">
        <v>1855</v>
      </c>
      <c r="F347" s="105"/>
      <c r="I347" s="105"/>
      <c r="J347" s="105"/>
      <c r="K347" s="89" t="s">
        <v>1856</v>
      </c>
      <c r="L347" s="304"/>
      <c r="M347" s="89" t="s">
        <v>1857</v>
      </c>
    </row>
    <row r="348">
      <c r="B348" s="314" t="s">
        <v>1858</v>
      </c>
      <c r="C348" s="315" t="str">
        <f>HYPERLINK("https://docs.google.com/document/d/1_qAh9DkY9wHg2DtD0ZYmQGy96cwKbSzl4xBt44K2-dU/edit?ts=5cd6cc33#heading=h.owyadcjagkhy","Improve self-review")</f>
        <v>Improve self-review</v>
      </c>
      <c r="D348" s="211" t="s">
        <v>23</v>
      </c>
      <c r="E348" s="213"/>
      <c r="F348" s="214"/>
      <c r="G348" s="31"/>
      <c r="H348" s="31"/>
      <c r="I348" s="214"/>
      <c r="J348" s="214"/>
      <c r="K348" s="101"/>
      <c r="L348" s="316"/>
      <c r="M348" s="101"/>
      <c r="N348" s="31"/>
      <c r="O348" s="31"/>
      <c r="P348" s="31"/>
      <c r="Q348" s="31"/>
      <c r="R348" s="31"/>
      <c r="S348" s="31"/>
      <c r="T348" s="31"/>
      <c r="U348" s="31"/>
      <c r="V348" s="31"/>
      <c r="W348" s="31"/>
    </row>
    <row r="349">
      <c r="B349" s="300" t="s">
        <v>1859</v>
      </c>
      <c r="C349" s="301" t="str">
        <f>HYPERLINK("https://docs.google.com/document/d/1_qAh9DkY9wHg2DtD0ZYmQGy96cwKbSzl4xBt44K2-dU/edit?ts=5cd6cc33#heading=h.5jpj2akra6cv","Integrate Simicheck Web Service into Expertiza")</f>
        <v>Integrate Simicheck Web Service into Expertiza</v>
      </c>
      <c r="D349" s="302"/>
      <c r="E349" s="305" t="s">
        <v>1860</v>
      </c>
      <c r="F349" s="63" t="s">
        <v>18</v>
      </c>
      <c r="I349" s="63"/>
      <c r="J349" s="63"/>
      <c r="K349" s="89" t="s">
        <v>1861</v>
      </c>
      <c r="L349" s="304"/>
      <c r="M349" s="89" t="s">
        <v>1862</v>
      </c>
    </row>
    <row r="350">
      <c r="B350" s="300" t="s">
        <v>1863</v>
      </c>
      <c r="C350" s="301" t="str">
        <f>HYPERLINK("https://docs.google.com/document/d/1_qAh9DkY9wHg2DtD0ZYmQGy96cwKbSzl4xBt44K2-dU/edit?ts=5cd6cc33#heading=h.x5lac8actu4r","Convert Assignment creation form to ReactJS")</f>
        <v>Convert Assignment creation form to ReactJS</v>
      </c>
      <c r="D350" s="302"/>
      <c r="E350" s="305" t="s">
        <v>1864</v>
      </c>
      <c r="F350" s="105"/>
      <c r="I350" s="105"/>
      <c r="J350" s="105"/>
      <c r="K350" s="89" t="s">
        <v>1865</v>
      </c>
      <c r="L350" s="304"/>
      <c r="M350" s="89" t="s">
        <v>1866</v>
      </c>
    </row>
    <row r="351">
      <c r="B351" s="314" t="s">
        <v>1867</v>
      </c>
      <c r="C351" s="315" t="str">
        <f>HYPERLINK("https://docs.google.com/document/d/1_qAh9DkY9wHg2DtD0ZYmQGy96cwKbSzl4xBt44K2-dU/edit?ts=5cd6cc33#heading=h.cje8295tvhmk","Timestamps for students' submissions")</f>
        <v>Timestamps for students' submissions</v>
      </c>
      <c r="D351" s="211" t="s">
        <v>23</v>
      </c>
      <c r="E351" s="213"/>
      <c r="F351" s="214"/>
      <c r="G351" s="31"/>
      <c r="H351" s="31"/>
      <c r="I351" s="214"/>
      <c r="J351" s="214"/>
      <c r="K351" s="101"/>
      <c r="L351" s="316"/>
      <c r="M351" s="101"/>
    </row>
    <row r="352">
      <c r="B352" s="300" t="s">
        <v>1868</v>
      </c>
      <c r="C352" s="301" t="str">
        <f>HYPERLINK("https://docs.google.com/document/d/1_qAh9DkY9wHg2DtD0ZYmQGy96cwKbSzl4xBt44K2-dU/edit?ts=5cd6cc33#heading=h.ts7nlovgzq18","UI changes for review and score reports")</f>
        <v>UI changes for review and score reports</v>
      </c>
      <c r="D352" s="302" t="s">
        <v>1869</v>
      </c>
      <c r="E352" s="305" t="s">
        <v>1870</v>
      </c>
      <c r="F352" s="63" t="s">
        <v>18</v>
      </c>
      <c r="I352" s="63"/>
      <c r="J352" s="63"/>
      <c r="K352" s="89" t="s">
        <v>1871</v>
      </c>
      <c r="L352" s="304"/>
      <c r="M352" s="89" t="s">
        <v>1872</v>
      </c>
    </row>
    <row r="353">
      <c r="B353" s="300" t="s">
        <v>1873</v>
      </c>
      <c r="C353" s="301" t="str">
        <f>HYPERLINK("https://docs.google.com/document/d/1_qAh9DkY9wHg2DtD0ZYmQGy96cwKbSzl4xBt44K2-dU/edit?ts=5cd6cc33#heading=h.chsa37dv2qke","Improve survey functionality")</f>
        <v>Improve survey functionality</v>
      </c>
      <c r="D353" s="302" t="s">
        <v>1874</v>
      </c>
      <c r="E353" s="305" t="s">
        <v>1875</v>
      </c>
      <c r="F353" s="63" t="s">
        <v>18</v>
      </c>
      <c r="I353" s="63"/>
      <c r="J353" s="63"/>
      <c r="K353" s="89" t="s">
        <v>1876</v>
      </c>
      <c r="L353" s="304"/>
      <c r="M353" s="89" t="s">
        <v>1877</v>
      </c>
    </row>
    <row r="354">
      <c r="B354" s="300" t="s">
        <v>1878</v>
      </c>
      <c r="C354" s="301" t="str">
        <f>HYPERLINK("https://docs.google.com/document/d/1_qAh9DkY9wHg2DtD0ZYmQGy96cwKbSzl4xBt44K2-dU/edit?ts=5cd6cc33#heading=h.4e5a2duy5kiq","Text metrics")</f>
        <v>Text metrics</v>
      </c>
      <c r="D354" s="302" t="s">
        <v>1879</v>
      </c>
      <c r="E354" s="305" t="s">
        <v>1880</v>
      </c>
      <c r="F354" s="105"/>
      <c r="I354" s="105"/>
      <c r="J354" s="105"/>
      <c r="K354" s="89" t="s">
        <v>1881</v>
      </c>
      <c r="L354" s="304"/>
      <c r="M354" s="89" t="s">
        <v>1882</v>
      </c>
    </row>
    <row r="355">
      <c r="B355" s="300" t="s">
        <v>1883</v>
      </c>
      <c r="C355" s="301" t="str">
        <f>HYPERLINK("https://docs.google.com/document/d/1_qAh9DkY9wHg2DtD0ZYmQGy96cwKbSzl4xBt44K2-dU/edit?ts=5cd6cc33#heading=h.f5h38g4sbmiv","Additions to logging: How many times did a student log in, etc.")</f>
        <v>Additions to logging: How many times did a student log in, etc.</v>
      </c>
      <c r="D355" s="302" t="s">
        <v>1884</v>
      </c>
      <c r="E355" s="305" t="s">
        <v>1885</v>
      </c>
      <c r="F355" s="105"/>
      <c r="I355" s="105"/>
      <c r="J355" s="105"/>
      <c r="K355" s="89" t="s">
        <v>1886</v>
      </c>
      <c r="L355" s="304"/>
      <c r="M355" s="89" t="s">
        <v>1887</v>
      </c>
    </row>
    <row r="356">
      <c r="B356" s="300" t="s">
        <v>1888</v>
      </c>
      <c r="C356" s="301" t="str">
        <f>HYPERLINK("https://docs.google.com/document/d/1_qAh9DkY9wHg2DtD0ZYmQGy96cwKbSzl4xBt44K2-dU/edit?ts=5cd6cc33#heading=h.9b7wdafj9ni0","Improve score calculation")</f>
        <v>Improve score calculation</v>
      </c>
      <c r="D356" s="302" t="s">
        <v>1889</v>
      </c>
      <c r="E356" s="305" t="s">
        <v>1890</v>
      </c>
      <c r="F356" s="105"/>
      <c r="I356" s="105"/>
      <c r="J356" s="105"/>
      <c r="K356" s="89" t="s">
        <v>1891</v>
      </c>
      <c r="L356" s="304"/>
      <c r="M356" s="89" t="s">
        <v>1892</v>
      </c>
    </row>
    <row r="357">
      <c r="A357" s="46" t="s">
        <v>1893</v>
      </c>
      <c r="B357" s="317" t="s">
        <v>1894</v>
      </c>
      <c r="C357" s="318" t="str">
        <f>HYPERLINK("https://docs.google.com/document/d/17f8WVW7i-S5i0HEc__33lDQYRu9RxD7HQndSumQ_-JA/edit?ts=5cd6cba8#heading=h.b4jeeo80wzwj","Override review-grader pre-sort")</f>
        <v>Override review-grader pre-sort</v>
      </c>
      <c r="D357" s="317" t="s">
        <v>1895</v>
      </c>
      <c r="E357" s="319" t="s">
        <v>1896</v>
      </c>
      <c r="F357" s="105"/>
      <c r="I357" s="105"/>
      <c r="J357" s="105"/>
      <c r="K357" s="89" t="s">
        <v>1897</v>
      </c>
      <c r="L357" s="320"/>
      <c r="M357" s="89" t="s">
        <v>1898</v>
      </c>
    </row>
    <row r="358">
      <c r="B358" s="317" t="s">
        <v>1899</v>
      </c>
      <c r="C358" s="318" t="str">
        <f>HYPERLINK("https://docs.google.com/document/d/17f8WVW7i-S5i0HEc__33lDQYRu9RxD7HQndSumQ_-JA/edit?ts=5cd6cba8#heading=h.a9qz6c8ov4lh","Export scores in detail")</f>
        <v>Export scores in detail</v>
      </c>
      <c r="D358" s="317" t="s">
        <v>1900</v>
      </c>
      <c r="E358" s="319" t="s">
        <v>1901</v>
      </c>
      <c r="F358" s="63" t="s">
        <v>18</v>
      </c>
      <c r="I358" s="63"/>
      <c r="J358" s="63"/>
      <c r="K358" s="156" t="s">
        <v>1902</v>
      </c>
      <c r="L358" s="320"/>
      <c r="M358" s="89" t="s">
        <v>1903</v>
      </c>
    </row>
    <row r="359">
      <c r="B359" s="317" t="s">
        <v>1904</v>
      </c>
      <c r="C359" s="318" t="str">
        <f>HYPERLINK("https://docs.google.com/document/d/17f8WVW7i-S5i0HEc__33lDQYRu9RxD7HQndSumQ_-JA/edit?ts=5cd6cba8#heading=h.oyfbezb384nl","Remove useless partials from grades view and move view logic to grades_helper.rb")</f>
        <v>Remove useless partials from grades view and move view logic to grades_helper.rb</v>
      </c>
      <c r="D359" s="317" t="s">
        <v>1905</v>
      </c>
      <c r="E359" s="319" t="s">
        <v>1906</v>
      </c>
      <c r="F359" s="63" t="s">
        <v>18</v>
      </c>
      <c r="I359" s="63"/>
      <c r="J359" s="63"/>
      <c r="K359" s="156" t="s">
        <v>1907</v>
      </c>
      <c r="L359" s="320"/>
      <c r="M359" s="89" t="s">
        <v>1908</v>
      </c>
    </row>
    <row r="360">
      <c r="B360" s="317" t="s">
        <v>1909</v>
      </c>
      <c r="C360" s="318" t="str">
        <f>HYPERLINK("https://docs.google.com/document/d/17f8WVW7i-S5i0HEc__33lDQYRu9RxD7HQndSumQ_-JA/edit?ts=5cd6cba8#heading=h.o0x8jcwp10fa","Move sign_up_sheet view logic to sign_up_sheet_helper.rb")</f>
        <v>Move sign_up_sheet view logic to sign_up_sheet_helper.rb</v>
      </c>
      <c r="D360" s="317" t="s">
        <v>1910</v>
      </c>
      <c r="E360" s="319" t="s">
        <v>1911</v>
      </c>
      <c r="F360" s="63" t="s">
        <v>18</v>
      </c>
      <c r="I360" s="63"/>
      <c r="J360" s="63"/>
      <c r="K360" s="156" t="s">
        <v>1912</v>
      </c>
      <c r="L360" s="320"/>
      <c r="M360" s="89" t="s">
        <v>1913</v>
      </c>
    </row>
    <row r="361">
      <c r="B361" s="317" t="s">
        <v>1914</v>
      </c>
      <c r="C361" s="318" t="str">
        <f>HYPERLINK("https://docs.google.com/document/d/17f8WVW7i-S5i0HEc__33lDQYRu9RxD7HQndSumQ_-JA/edit?ts=5cd6cba8#heading=h.7sbi74xvt2g7","Remove cache field in roles table")</f>
        <v>Remove cache field in roles table</v>
      </c>
      <c r="D361" s="317" t="s">
        <v>1915</v>
      </c>
      <c r="E361" s="319" t="s">
        <v>1916</v>
      </c>
      <c r="F361" s="63" t="s">
        <v>18</v>
      </c>
      <c r="I361" s="63"/>
      <c r="J361" s="63"/>
      <c r="K361" s="156" t="s">
        <v>1917</v>
      </c>
      <c r="L361" s="320"/>
      <c r="M361" s="89" t="s">
        <v>1918</v>
      </c>
    </row>
    <row r="362">
      <c r="B362" s="211" t="s">
        <v>1919</v>
      </c>
      <c r="C362" s="212" t="str">
        <f>HYPERLINK("https://docs.google.com/document/d/17f8WVW7i-S5i0HEc__33lDQYRu9RxD7HQndSumQ_-JA/edit?ts=5cd6cba8#heading=h.dqaozdwizfmz","Fix staggered-deadline assignments")</f>
        <v>Fix staggered-deadline assignments</v>
      </c>
      <c r="D362" s="211" t="s">
        <v>23</v>
      </c>
      <c r="E362" s="213"/>
      <c r="F362" s="214"/>
      <c r="G362" s="31"/>
      <c r="H362" s="31"/>
      <c r="I362" s="214"/>
      <c r="J362" s="214"/>
      <c r="K362" s="101"/>
      <c r="L362" s="316"/>
      <c r="M362" s="101"/>
    </row>
    <row r="363">
      <c r="B363" s="317" t="s">
        <v>1920</v>
      </c>
      <c r="C363" s="318" t="str">
        <f>HYPERLINK("https://docs.google.com/document/d/17f8WVW7i-S5i0HEc__33lDQYRu9RxD7HQndSumQ_-JA/edit?ts=5cd6cba8#heading=h.nshib9vd06np","Remove duplicated code in feature tests")</f>
        <v>Remove duplicated code in feature tests</v>
      </c>
      <c r="D363" s="317" t="s">
        <v>1921</v>
      </c>
      <c r="E363" s="318" t="s">
        <v>1922</v>
      </c>
      <c r="F363" s="63" t="s">
        <v>18</v>
      </c>
      <c r="I363" s="63"/>
      <c r="J363" s="63"/>
      <c r="K363" s="156" t="s">
        <v>1923</v>
      </c>
      <c r="L363" s="320"/>
      <c r="M363" s="321" t="s">
        <v>1924</v>
      </c>
    </row>
    <row r="364">
      <c r="B364" s="228" t="s">
        <v>1925</v>
      </c>
      <c r="C364" s="229" t="str">
        <f>HYPERLINK("https://docs.google.com/document/d/17f8WVW7i-S5i0HEc__33lDQYRu9RxD7HQndSumQ_-JA/edit?ts=5cd6cba8#heading=h.petksb58benk","Test various kinds of response map hierarchies")</f>
        <v>Test various kinds of response map hierarchies</v>
      </c>
      <c r="D364" s="228" t="s">
        <v>23</v>
      </c>
      <c r="E364" s="232"/>
      <c r="F364" s="220"/>
      <c r="G364" s="85"/>
      <c r="H364" s="85"/>
      <c r="I364" s="220"/>
      <c r="J364" s="220"/>
      <c r="K364" s="194"/>
      <c r="L364" s="195"/>
      <c r="M364" s="194"/>
    </row>
    <row r="365">
      <c r="B365" s="317" t="s">
        <v>1926</v>
      </c>
      <c r="C365" s="318" t="str">
        <f>HYPERLINK("https://docs.google.com/document/d/17f8WVW7i-S5i0HEc__33lDQYRu9RxD7HQndSumQ_-JA/edit?ts=5cd6cba8#heading=h.vwzgjdy73cnz","Test heat map for viewing scores")</f>
        <v>Test heat map for viewing scores</v>
      </c>
      <c r="D365" s="317" t="s">
        <v>1927</v>
      </c>
      <c r="E365" s="319" t="s">
        <v>1928</v>
      </c>
      <c r="F365" s="105"/>
      <c r="I365" s="105"/>
      <c r="J365" s="105"/>
      <c r="K365" s="322" t="s">
        <v>1929</v>
      </c>
      <c r="L365" s="320"/>
      <c r="M365" s="89" t="s">
        <v>1930</v>
      </c>
    </row>
    <row r="366">
      <c r="B366" s="317" t="s">
        <v>1931</v>
      </c>
      <c r="C366" s="318" t="str">
        <f>HYPERLINK("https://docs.google.com/document/d/17f8WVW7i-S5i0HEc__33lDQYRu9RxD7HQndSumQ_-JA/edit?ts=5cd6cba8#heading=h.bm31nxstq0ec","Use Ajax for adding participants, TA, Edit Questionnaires screens")</f>
        <v>Use Ajax for adding participants, TA, Edit Questionnaires screens</v>
      </c>
      <c r="D366" s="317" t="s">
        <v>1932</v>
      </c>
      <c r="E366" s="319" t="s">
        <v>1933</v>
      </c>
      <c r="F366" s="63" t="s">
        <v>18</v>
      </c>
      <c r="I366" s="63"/>
      <c r="J366" s="63"/>
      <c r="K366" s="156" t="s">
        <v>1934</v>
      </c>
      <c r="L366" s="320"/>
      <c r="M366" s="89" t="s">
        <v>1935</v>
      </c>
    </row>
    <row r="367">
      <c r="B367" s="317" t="s">
        <v>1936</v>
      </c>
      <c r="C367" s="318" t="str">
        <f>HYPERLINK("https://docs.google.com/document/d/17f8WVW7i-S5i0HEc__33lDQYRu9RxD7HQndSumQ_-JA/edit?ts=5cd6cba8#heading=h.eofpau5mkd1q","UI issues/fixes")</f>
        <v>UI issues/fixes</v>
      </c>
      <c r="D367" s="317" t="s">
        <v>1937</v>
      </c>
      <c r="E367" s="319" t="s">
        <v>1938</v>
      </c>
      <c r="F367" s="63" t="s">
        <v>18</v>
      </c>
      <c r="I367" s="63"/>
      <c r="J367" s="63"/>
      <c r="K367" s="156" t="s">
        <v>1939</v>
      </c>
      <c r="L367" s="320"/>
      <c r="M367" s="89" t="s">
        <v>1940</v>
      </c>
    </row>
    <row r="368">
      <c r="B368" s="228" t="s">
        <v>1941</v>
      </c>
      <c r="C368" s="229" t="str">
        <f>HYPERLINK("https://docs.google.com/document/d/17f8WVW7i-S5i0HEc__33lDQYRu9RxD7HQndSumQ_-JA/edit?ts=5cd6cba8#heading=h.agxmjqale85g","Reviewer-round matrix for viewing scores from different rounds")</f>
        <v>Reviewer-round matrix for viewing scores from different rounds</v>
      </c>
      <c r="D368" s="228" t="s">
        <v>23</v>
      </c>
      <c r="E368" s="232"/>
      <c r="F368" s="220"/>
      <c r="G368" s="85"/>
      <c r="H368" s="85"/>
      <c r="I368" s="220"/>
      <c r="J368" s="220"/>
      <c r="K368" s="194"/>
      <c r="L368" s="195"/>
      <c r="M368" s="194"/>
    </row>
    <row r="369">
      <c r="B369" s="317" t="s">
        <v>1942</v>
      </c>
      <c r="C369" s="318" t="str">
        <f>HYPERLINK("https://docs.google.com/document/d/17f8WVW7i-S5i0HEc__33lDQYRu9RxD7HQndSumQ_-JA/edit?ts=5cd6cba8#heading=h.6x0j1phxjm0v","Review requirements and thresholds")</f>
        <v>Review requirements and thresholds</v>
      </c>
      <c r="D369" s="317" t="s">
        <v>1943</v>
      </c>
      <c r="E369" s="319" t="s">
        <v>1944</v>
      </c>
      <c r="F369" s="63" t="s">
        <v>18</v>
      </c>
      <c r="I369" s="63"/>
      <c r="J369" s="63"/>
      <c r="K369" s="153" t="s">
        <v>1945</v>
      </c>
      <c r="L369" s="320"/>
      <c r="M369" s="89" t="s">
        <v>1946</v>
      </c>
    </row>
    <row r="370">
      <c r="B370" s="228" t="s">
        <v>1947</v>
      </c>
      <c r="C370" s="230" t="s">
        <v>1948</v>
      </c>
      <c r="D370" s="228" t="s">
        <v>23</v>
      </c>
      <c r="E370" s="232"/>
      <c r="F370" s="220"/>
      <c r="G370" s="85"/>
      <c r="H370" s="85"/>
      <c r="I370" s="220"/>
      <c r="J370" s="220"/>
      <c r="K370" s="194"/>
      <c r="L370" s="195"/>
      <c r="M370" s="194"/>
    </row>
    <row r="371">
      <c r="B371" s="317" t="s">
        <v>1949</v>
      </c>
      <c r="C371" s="318" t="str">
        <f>HYPERLINK("https://docs.google.com/document/d/17f8WVW7i-S5i0HEc__33lDQYRu9RxD7HQndSumQ_-JA/edit?ts=5cd6cba8#heading=h.gotokttmnzv3","Improve e-mail notifications")</f>
        <v>Improve e-mail notifications</v>
      </c>
      <c r="D371" s="317" t="s">
        <v>1950</v>
      </c>
      <c r="E371" s="319" t="s">
        <v>1951</v>
      </c>
      <c r="F371" s="105"/>
      <c r="I371" s="105"/>
      <c r="J371" s="105"/>
      <c r="K371" s="153" t="s">
        <v>1952</v>
      </c>
      <c r="L371" s="320"/>
      <c r="M371" s="321" t="s">
        <v>1953</v>
      </c>
    </row>
    <row r="372">
      <c r="B372" s="228" t="s">
        <v>1954</v>
      </c>
      <c r="C372" s="229" t="str">
        <f>HYPERLINK("https://docs.google.com/document/d/17f8WVW7i-S5i0HEc__33lDQYRu9RxD7HQndSumQ_-JA/edit?ts=5cd6cba8#heading=h.cg72qxjjh0bk","Fix and improve rubric criteria (OSS brown)")</f>
        <v>Fix and improve rubric criteria (OSS brown)</v>
      </c>
      <c r="D372" s="228" t="s">
        <v>23</v>
      </c>
      <c r="E372" s="232"/>
      <c r="F372" s="220"/>
      <c r="G372" s="85"/>
      <c r="H372" s="85"/>
      <c r="I372" s="220"/>
      <c r="J372" s="220"/>
      <c r="K372" s="194"/>
      <c r="L372" s="195"/>
      <c r="M372" s="194"/>
    </row>
    <row r="373">
      <c r="B373" s="317" t="s">
        <v>1955</v>
      </c>
      <c r="C373" s="318" t="str">
        <f>HYPERLINK("https://docs.google.com/document/d/17f8WVW7i-S5i0HEc__33lDQYRu9RxD7HQndSumQ_-JA/edit?ts=5cd6cba8#heading=h.7qqnt03nm3xy","Allow instructor to sign students up for topics and drop them")</f>
        <v>Allow instructor to sign students up for topics and drop them</v>
      </c>
      <c r="D373" s="317" t="s">
        <v>1956</v>
      </c>
      <c r="E373" s="319" t="s">
        <v>1957</v>
      </c>
      <c r="F373" s="63" t="s">
        <v>18</v>
      </c>
      <c r="I373" s="63"/>
      <c r="J373" s="63"/>
      <c r="K373" s="296" t="s">
        <v>1958</v>
      </c>
      <c r="L373" s="320"/>
      <c r="M373" s="89" t="s">
        <v>1959</v>
      </c>
    </row>
    <row r="374">
      <c r="B374" s="317" t="s">
        <v>1960</v>
      </c>
      <c r="C374" s="318" t="str">
        <f>HYPERLINK("https://docs.google.com/document/d/17f8WVW7i-S5i0HEc__33lDQYRu9RxD7HQndSumQ_-JA/edit?ts=5cd6cba8#heading=h.uko5b7g1likr","Refactor penalty_helper.rb and late_policies_controller.rb")</f>
        <v>Refactor penalty_helper.rb and late_policies_controller.rb</v>
      </c>
      <c r="D374" s="317" t="s">
        <v>1961</v>
      </c>
      <c r="E374" s="319" t="s">
        <v>1962</v>
      </c>
      <c r="F374" s="63" t="s">
        <v>1263</v>
      </c>
      <c r="I374" s="63"/>
      <c r="J374" s="63"/>
      <c r="K374" s="153" t="s">
        <v>1963</v>
      </c>
      <c r="L374" s="320"/>
      <c r="M374" s="89" t="s">
        <v>1964</v>
      </c>
    </row>
    <row r="375">
      <c r="B375" s="317" t="s">
        <v>1965</v>
      </c>
      <c r="C375" s="318" t="str">
        <f>HYPERLINK("https://docs.google.com/document/d/17f8WVW7i-S5i0HEc__33lDQYRu9RxD7HQndSumQ_-JA/edit?ts=5cd6cba8#","Refactor join_team_requests_controller.rb and invitation_controller.rb")</f>
        <v>Refactor join_team_requests_controller.rb and invitation_controller.rb</v>
      </c>
      <c r="D375" s="317" t="s">
        <v>1966</v>
      </c>
      <c r="E375" s="319" t="s">
        <v>1967</v>
      </c>
      <c r="F375" s="63" t="s">
        <v>18</v>
      </c>
      <c r="I375" s="63"/>
      <c r="J375" s="63"/>
      <c r="K375" s="323" t="s">
        <v>1968</v>
      </c>
      <c r="L375" s="320"/>
      <c r="M375" s="89" t="s">
        <v>1969</v>
      </c>
    </row>
    <row r="376">
      <c r="B376" s="317" t="s">
        <v>1970</v>
      </c>
      <c r="C376" s="318" t="str">
        <f>HYPERLINK("https://docs.google.com/document/d/17f8WVW7i-S5i0HEc__33lDQYRu9RxD7HQndSumQ_-JA/edit?ts=5cd6cba8#","Refactor delayed_mailer.rb and scheduled_task.rb")</f>
        <v>Refactor delayed_mailer.rb and scheduled_task.rb</v>
      </c>
      <c r="D376" s="317" t="s">
        <v>1971</v>
      </c>
      <c r="E376" s="319" t="s">
        <v>1972</v>
      </c>
      <c r="F376" s="105"/>
      <c r="I376" s="105"/>
      <c r="J376" s="105"/>
      <c r="K376" s="153" t="s">
        <v>1973</v>
      </c>
      <c r="L376" s="320"/>
      <c r="M376" s="89" t="s">
        <v>1974</v>
      </c>
    </row>
    <row r="377">
      <c r="A377" s="324" t="s">
        <v>1975</v>
      </c>
      <c r="B377" s="190" t="s">
        <v>1976</v>
      </c>
      <c r="C377" s="191" t="str">
        <f>HYPERLINK("https://docs.google.com/document/d/1fI5KbPXCJ8dSUyLynnqC__A3MtZ47enNfMcki3Vf3uk/edit?ts=5cd6cc22#heading=h.m9wejr3au9pr","Review input sanitization")</f>
        <v>Review input sanitization</v>
      </c>
      <c r="D377" s="80" t="s">
        <v>23</v>
      </c>
      <c r="E377" s="192"/>
      <c r="F377" s="220"/>
      <c r="G377" s="85"/>
      <c r="H377" s="85"/>
      <c r="I377" s="220"/>
      <c r="J377" s="220"/>
      <c r="K377" s="85"/>
      <c r="L377" s="195"/>
      <c r="M377" s="194"/>
    </row>
    <row r="378">
      <c r="B378" s="325" t="s">
        <v>1977</v>
      </c>
      <c r="C378" s="326" t="str">
        <f>HYPERLINK("https://docs.google.com/document/d/1fI5KbPXCJ8dSUyLynnqC__A3MtZ47enNfMcki3Vf3uk/edit?ts=5cd6cc22#","Visualizations for instructors")</f>
        <v>Visualizations for instructors</v>
      </c>
      <c r="D378" s="223" t="s">
        <v>1978</v>
      </c>
      <c r="E378" s="327" t="s">
        <v>1979</v>
      </c>
      <c r="F378" s="328"/>
      <c r="G378" s="329"/>
      <c r="H378" s="329"/>
      <c r="I378" s="328"/>
      <c r="J378" s="328"/>
      <c r="K378" s="89" t="s">
        <v>1980</v>
      </c>
      <c r="L378" s="226"/>
      <c r="M378" s="156" t="s">
        <v>1981</v>
      </c>
    </row>
    <row r="379">
      <c r="B379" s="223" t="s">
        <v>1982</v>
      </c>
      <c r="C379" s="224" t="str">
        <f>HYPERLINK("https://docs.google.com/document/d/1fI5KbPXCJ8dSUyLynnqC__A3MtZ47enNfMcki3Vf3uk/edit?ts=5cd6cc22#","Improvements to staggered-deadline assignments")</f>
        <v>Improvements to staggered-deadline assignments</v>
      </c>
      <c r="D379" s="223" t="s">
        <v>1983</v>
      </c>
      <c r="E379" s="227" t="s">
        <v>1984</v>
      </c>
      <c r="F379" s="63" t="s">
        <v>1263</v>
      </c>
      <c r="I379" s="63"/>
      <c r="J379" s="63"/>
      <c r="K379" s="89" t="s">
        <v>1985</v>
      </c>
      <c r="L379" s="226"/>
      <c r="M379" s="156" t="s">
        <v>1986</v>
      </c>
    </row>
    <row r="380">
      <c r="B380" s="223" t="s">
        <v>1987</v>
      </c>
      <c r="C380" s="224" t="str">
        <f>HYPERLINK("https://docs.google.com/document/d/1fI5KbPXCJ8dSUyLynnqC__A3MtZ47enNfMcki3Vf3uk/edit?ts=5cd6cc22#","Implement top trading cycles in the instructor view and exclude previous teammates from new teams")</f>
        <v>Implement top trading cycles in the instructor view and exclude previous teammates from new teams</v>
      </c>
      <c r="D380" s="223" t="s">
        <v>1988</v>
      </c>
      <c r="E380" s="227" t="s">
        <v>1989</v>
      </c>
      <c r="F380" s="105"/>
      <c r="I380" s="105"/>
      <c r="J380" s="105"/>
      <c r="K380" s="89" t="s">
        <v>1990</v>
      </c>
      <c r="L380" s="226"/>
      <c r="M380" s="156" t="s">
        <v>1991</v>
      </c>
    </row>
    <row r="381">
      <c r="B381" s="223" t="s">
        <v>1992</v>
      </c>
      <c r="C381" s="224" t="str">
        <f>HYPERLINK("https://docs.google.com/document/d/1fI5KbPXCJ8dSUyLynnqC__A3MtZ47enNfMcki3Vf3uk/edit?ts=5cd6cc22#","Single signon for Peerlogic web services")</f>
        <v>Single signon for Peerlogic web services</v>
      </c>
      <c r="D381" s="223" t="s">
        <v>1993</v>
      </c>
      <c r="E381" s="224" t="s">
        <v>1994</v>
      </c>
      <c r="F381" s="105"/>
      <c r="I381" s="105"/>
      <c r="J381" s="105"/>
      <c r="K381" s="89" t="s">
        <v>1995</v>
      </c>
      <c r="L381" s="226"/>
      <c r="M381" s="156" t="s">
        <v>1996</v>
      </c>
    </row>
    <row r="382">
      <c r="B382" s="223" t="s">
        <v>1997</v>
      </c>
      <c r="C382" s="224" t="str">
        <f>HYPERLINK("https://docs.google.com/document/d/1fI5KbPXCJ8dSUyLynnqC__A3MtZ47enNfMcki3Vf3uk/edit?ts=5cd6cc22#heading=h.hzs7wwf04ln3","Track the time that students look at the other submissions to indicate how much students learn from others' work")</f>
        <v>Track the time that students look at the other submissions to indicate how much students learn from others' work</v>
      </c>
      <c r="D382" s="223" t="s">
        <v>1998</v>
      </c>
      <c r="E382" s="227" t="s">
        <v>1999</v>
      </c>
      <c r="F382" s="105"/>
      <c r="I382" s="105"/>
      <c r="J382" s="105"/>
      <c r="K382" s="89" t="s">
        <v>2000</v>
      </c>
      <c r="L382" s="226"/>
      <c r="M382" s="156" t="s">
        <v>2001</v>
      </c>
    </row>
    <row r="383">
      <c r="B383" s="228" t="s">
        <v>2002</v>
      </c>
      <c r="C383" s="229" t="str">
        <f>HYPERLINK("https://docs.google.com/document/d/1fI5KbPXCJ8dSUyLynnqC__A3MtZ47enNfMcki3Vf3uk/edit?ts=5cd6cc22#","Student-generated questions added to rubric")</f>
        <v>Student-generated questions added to rubric</v>
      </c>
      <c r="D383" s="228" t="s">
        <v>23</v>
      </c>
      <c r="E383" s="232"/>
      <c r="F383" s="220"/>
      <c r="G383" s="85"/>
      <c r="H383" s="85"/>
      <c r="I383" s="220"/>
      <c r="J383" s="220"/>
      <c r="K383" s="194"/>
      <c r="L383" s="195"/>
      <c r="M383" s="194"/>
    </row>
    <row r="384">
      <c r="B384" s="223" t="s">
        <v>2003</v>
      </c>
      <c r="C384" s="224" t="str">
        <f>HYPERLINK("https://docs.google.com/document/d/1fI5KbPXCJ8dSUyLynnqC__A3MtZ47enNfMcki3Vf3uk/edit?ts=5cd6cc22#heading=h.f5h38g4sbmiv","Additions to logging: How many times did a student log in, etc.")</f>
        <v>Additions to logging: How many times did a student log in, etc.</v>
      </c>
      <c r="D384" s="223" t="s">
        <v>2004</v>
      </c>
      <c r="E384" s="227" t="s">
        <v>2005</v>
      </c>
      <c r="F384" s="105"/>
      <c r="I384" s="105"/>
      <c r="J384" s="105"/>
      <c r="K384" s="89" t="s">
        <v>2006</v>
      </c>
      <c r="L384" s="226"/>
      <c r="M384" s="89" t="s">
        <v>2007</v>
      </c>
    </row>
    <row r="385">
      <c r="B385" s="223" t="s">
        <v>2008</v>
      </c>
      <c r="C385" s="224" t="str">
        <f>HYPERLINK("https://docs.google.com/document/d/1fI5KbPXCJ8dSUyLynnqC__A3MtZ47enNfMcki3Vf3uk/edit?ts=5cd6cc22#","Lightweight badging system based on Credly")</f>
        <v>Lightweight badging system based on Credly</v>
      </c>
      <c r="D385" s="223" t="s">
        <v>2009</v>
      </c>
      <c r="E385" s="227" t="s">
        <v>2010</v>
      </c>
      <c r="F385" s="105"/>
      <c r="I385" s="105"/>
      <c r="J385" s="105"/>
      <c r="K385" s="89" t="s">
        <v>2011</v>
      </c>
      <c r="L385" s="226"/>
      <c r="M385" s="156" t="s">
        <v>2012</v>
      </c>
    </row>
    <row r="386">
      <c r="B386" s="223" t="s">
        <v>2013</v>
      </c>
      <c r="C386" s="224" t="str">
        <f>HYPERLINK("https://docs.google.com/document/d/1fI5KbPXCJ8dSUyLynnqC__A3MtZ47enNfMcki3Vf3uk/edit?ts=5cd6cc22#heading=h.g4lf20agn65p","Accelerate RSpec testing")</f>
        <v>Accelerate RSpec testing</v>
      </c>
      <c r="D386" s="223" t="s">
        <v>2014</v>
      </c>
      <c r="E386" s="227" t="s">
        <v>2015</v>
      </c>
      <c r="F386" s="105"/>
      <c r="I386" s="105"/>
      <c r="J386" s="105"/>
      <c r="K386" s="89" t="s">
        <v>2016</v>
      </c>
      <c r="L386" s="226"/>
      <c r="M386" s="156" t="s">
        <v>2017</v>
      </c>
    </row>
    <row r="387">
      <c r="B387" s="223" t="s">
        <v>2018</v>
      </c>
      <c r="C387" s="224" t="str">
        <f>HYPERLINK("https://docs.google.com/document/d/1fI5KbPXCJ8dSUyLynnqC__A3MtZ47enNfMcki3Vf3uk/edit?ts=5cd6cc22#heading=h.6uukrf5qzfgm","Integrate Google doc editor/viewer")</f>
        <v>Integrate Google doc editor/viewer</v>
      </c>
      <c r="D387" s="223" t="s">
        <v>2019</v>
      </c>
      <c r="E387" s="227" t="s">
        <v>2020</v>
      </c>
      <c r="F387" s="105"/>
      <c r="I387" s="105"/>
      <c r="J387" s="105"/>
      <c r="K387" s="89" t="s">
        <v>2021</v>
      </c>
      <c r="L387" s="226"/>
      <c r="M387" s="156" t="s">
        <v>2022</v>
      </c>
    </row>
    <row r="388">
      <c r="B388" s="190" t="s">
        <v>2023</v>
      </c>
      <c r="C388" s="247"/>
      <c r="D388" s="190" t="s">
        <v>23</v>
      </c>
      <c r="E388" s="330"/>
      <c r="F388" s="220"/>
      <c r="G388" s="85"/>
      <c r="H388" s="85"/>
      <c r="I388" s="220"/>
      <c r="J388" s="220"/>
      <c r="K388" s="171"/>
      <c r="L388" s="195"/>
      <c r="M388" s="194"/>
    </row>
    <row r="389">
      <c r="B389" s="223" t="s">
        <v>2024</v>
      </c>
      <c r="C389" s="224" t="str">
        <f>HYPERLINK("https://docs.google.com/document/d/1fI5KbPXCJ8dSUyLynnqC__A3MtZ47enNfMcki3Vf3uk/edit?ts=5cd6cc22#","Instructor/student control of anonymity + group-based reviewing")</f>
        <v>Instructor/student control of anonymity + group-based reviewing</v>
      </c>
      <c r="D389" s="223" t="s">
        <v>2025</v>
      </c>
      <c r="E389" s="227" t="s">
        <v>2026</v>
      </c>
      <c r="F389" s="105"/>
      <c r="I389" s="105"/>
      <c r="J389" s="105"/>
      <c r="K389" s="89" t="s">
        <v>2027</v>
      </c>
      <c r="L389" s="226"/>
      <c r="M389" s="156" t="s">
        <v>2028</v>
      </c>
    </row>
    <row r="390">
      <c r="B390" s="223" t="s">
        <v>2029</v>
      </c>
      <c r="C390" s="224" t="str">
        <f>HYPERLINK("https://docs.google.com/document/d/1fI5KbPXCJ8dSUyLynnqC__A3MtZ47enNfMcki3Vf3uk/edit?ts=5cd6cc22#heading=h.xrypzpp72xjf","Add descriptions, links to topics")</f>
        <v>Add descriptions, links to topics</v>
      </c>
      <c r="D390" s="223" t="s">
        <v>2030</v>
      </c>
      <c r="E390" s="227" t="s">
        <v>2031</v>
      </c>
      <c r="F390" s="63" t="s">
        <v>18</v>
      </c>
      <c r="I390" s="63"/>
      <c r="J390" s="63"/>
      <c r="K390" s="89" t="s">
        <v>2032</v>
      </c>
      <c r="L390" s="226"/>
      <c r="M390" s="156" t="s">
        <v>2033</v>
      </c>
    </row>
    <row r="391">
      <c r="B391" s="223" t="s">
        <v>2034</v>
      </c>
      <c r="C391" s="224" t="str">
        <f>HYPERLINK("https://docs.google.com/document/d/1fI5KbPXCJ8dSUyLynnqC__A3MtZ47enNfMcki3Vf3uk/edit?ts=5cd6cc22#","Improve self-review")</f>
        <v>Improve self-review</v>
      </c>
      <c r="D391" s="223" t="s">
        <v>2035</v>
      </c>
      <c r="E391" s="227" t="s">
        <v>2036</v>
      </c>
      <c r="F391" s="105"/>
      <c r="I391" s="105"/>
      <c r="J391" s="105"/>
      <c r="K391" s="89" t="s">
        <v>2037</v>
      </c>
      <c r="L391" s="226"/>
      <c r="M391" s="156" t="s">
        <v>2038</v>
      </c>
    </row>
    <row r="392">
      <c r="B392" s="228" t="s">
        <v>2039</v>
      </c>
      <c r="C392" s="229" t="str">
        <f>HYPERLINK("https://docs.google.com/document/d/1fI5KbPXCJ8dSUyLynnqC__A3MtZ47enNfMcki3Vf3uk/edit?ts=5cd6cc22#","Improvements to bookmarking")</f>
        <v>Improvements to bookmarking</v>
      </c>
      <c r="D392" s="228" t="s">
        <v>23</v>
      </c>
      <c r="E392" s="232"/>
      <c r="F392" s="220"/>
      <c r="G392" s="85"/>
      <c r="H392" s="85"/>
      <c r="I392" s="220"/>
      <c r="J392" s="220"/>
      <c r="K392" s="194"/>
      <c r="L392" s="195"/>
      <c r="M392" s="194"/>
    </row>
    <row r="393">
      <c r="B393" s="223" t="s">
        <v>2040</v>
      </c>
      <c r="C393" s="224" t="str">
        <f>HYPERLINK("https://docs.google.com/document/d/1fI5KbPXCJ8dSUyLynnqC__A3MtZ47enNfMcki3Vf3uk/edit?ts=5cd6cc22#heading=h.37uf83uwhqz1","Improve grade-conflict reports for instructors")</f>
        <v>Improve grade-conflict reports for instructors</v>
      </c>
      <c r="D393" s="223" t="s">
        <v>2041</v>
      </c>
      <c r="E393" s="227" t="s">
        <v>2042</v>
      </c>
      <c r="F393" s="105"/>
      <c r="I393" s="105"/>
      <c r="J393" s="105"/>
      <c r="K393" s="89" t="s">
        <v>2043</v>
      </c>
      <c r="L393" s="226"/>
      <c r="M393" s="156" t="s">
        <v>2044</v>
      </c>
    </row>
    <row r="394">
      <c r="B394" s="223" t="s">
        <v>2045</v>
      </c>
      <c r="C394" s="224" t="str">
        <f>HYPERLINK("https://docs.google.com/document/d/1fI5KbPXCJ8dSUyLynnqC__A3MtZ47enNfMcki3Vf3uk/edit?ts=5cd6cc22#","Drag-and-drop interface for creating rubrics")</f>
        <v>Drag-and-drop interface for creating rubrics</v>
      </c>
      <c r="D394" s="223" t="s">
        <v>2046</v>
      </c>
      <c r="E394" s="227" t="s">
        <v>2047</v>
      </c>
      <c r="F394" s="105"/>
      <c r="I394" s="105"/>
      <c r="J394" s="105"/>
      <c r="K394" s="89" t="s">
        <v>2048</v>
      </c>
      <c r="L394" s="226"/>
      <c r="M394" s="156" t="s">
        <v>2049</v>
      </c>
    </row>
    <row r="395">
      <c r="B395" s="223" t="s">
        <v>2050</v>
      </c>
      <c r="C395" s="224" t="str">
        <f>HYPERLINK("https://docs.google.com/document/d/1fI5KbPXCJ8dSUyLynnqC__A3MtZ47enNfMcki3Vf3uk/edit?ts=5cd6cc22#","Integrate Simicheck Web Service into Expertiza")</f>
        <v>Integrate Simicheck Web Service into Expertiza</v>
      </c>
      <c r="D395" s="223" t="s">
        <v>2051</v>
      </c>
      <c r="E395" s="227" t="s">
        <v>2052</v>
      </c>
      <c r="F395" s="63" t="s">
        <v>18</v>
      </c>
      <c r="I395" s="63"/>
      <c r="J395" s="63"/>
      <c r="K395" s="89" t="s">
        <v>2053</v>
      </c>
      <c r="L395" s="226"/>
      <c r="M395" s="156" t="s">
        <v>2054</v>
      </c>
    </row>
    <row r="396">
      <c r="B396" s="223" t="s">
        <v>2055</v>
      </c>
      <c r="C396" s="224" t="str">
        <f>HYPERLINK("https://docs.google.com/document/d/1fI5KbPXCJ8dSUyLynnqC__A3MtZ47enNfMcki3Vf3uk/edit?ts=5cd6cc22#","Convert Assignment creation form to ReactJS")</f>
        <v>Convert Assignment creation form to ReactJS</v>
      </c>
      <c r="D396" s="223" t="s">
        <v>2056</v>
      </c>
      <c r="E396" s="227" t="s">
        <v>2057</v>
      </c>
      <c r="F396" s="105"/>
      <c r="I396" s="105"/>
      <c r="J396" s="105"/>
      <c r="K396" s="89" t="s">
        <v>2058</v>
      </c>
      <c r="L396" s="226"/>
      <c r="M396" s="41" t="s">
        <v>2059</v>
      </c>
    </row>
    <row r="397">
      <c r="B397" s="223" t="s">
        <v>2060</v>
      </c>
      <c r="C397" s="224" t="str">
        <f>HYPERLINK("https://docs.google.com/document/d/1fI5KbPXCJ8dSUyLynnqC__A3MtZ47enNfMcki3Vf3uk/edit?ts=5cd6cc22#","Improvements to password recovery and repeated login failures")</f>
        <v>Improvements to password recovery and repeated login failures</v>
      </c>
      <c r="D397" s="223" t="s">
        <v>2061</v>
      </c>
      <c r="E397" s="227" t="s">
        <v>2062</v>
      </c>
      <c r="F397" s="63" t="s">
        <v>18</v>
      </c>
      <c r="I397" s="63"/>
      <c r="J397" s="63"/>
      <c r="K397" s="89" t="s">
        <v>2063</v>
      </c>
      <c r="L397" s="226"/>
      <c r="M397" s="41" t="s">
        <v>2064</v>
      </c>
    </row>
    <row r="398">
      <c r="B398" s="223" t="s">
        <v>2065</v>
      </c>
      <c r="C398" s="224" t="str">
        <f>HYPERLINK("https://docs.google.com/document/d/1fI5KbPXCJ8dSUyLynnqC__A3MtZ47enNfMcki3Vf3uk/edit?ts=5cd6cc22#","Anonymous chat between author and reviewer")</f>
        <v>Anonymous chat between author and reviewer</v>
      </c>
      <c r="D398" s="223" t="s">
        <v>2066</v>
      </c>
      <c r="E398" s="227" t="s">
        <v>2067</v>
      </c>
      <c r="F398" s="105"/>
      <c r="I398" s="105"/>
      <c r="J398" s="105"/>
      <c r="K398" s="89" t="s">
        <v>2068</v>
      </c>
      <c r="L398" s="226"/>
      <c r="M398" s="41" t="s">
        <v>2069</v>
      </c>
    </row>
    <row r="399">
      <c r="B399" s="223" t="s">
        <v>2070</v>
      </c>
      <c r="C399" s="224" t="str">
        <f>HYPERLINK("https://docs.google.com/document/d/1fI5KbPXCJ8dSUyLynnqC__A3MtZ47enNfMcki3Vf3uk/edit?ts=5cd6cc22#heading=h.f4oplpmvyu7g","Send feedback to support + tree display improvement")</f>
        <v>Send feedback to support + tree display improvement</v>
      </c>
      <c r="D399" s="223" t="s">
        <v>2071</v>
      </c>
      <c r="E399" s="227" t="s">
        <v>2072</v>
      </c>
      <c r="F399" s="105"/>
      <c r="I399" s="105"/>
      <c r="J399" s="105"/>
      <c r="K399" s="89" t="s">
        <v>2073</v>
      </c>
      <c r="L399" s="226"/>
      <c r="M399" s="41" t="s">
        <v>2074</v>
      </c>
    </row>
    <row r="400">
      <c r="B400" s="223" t="s">
        <v>2075</v>
      </c>
      <c r="C400" s="224" t="str">
        <f>HYPERLINK("https://docs.google.com/document/d/1fI5KbPXCJ8dSUyLynnqC__A3MtZ47enNfMcki3Vf3uk/edit?ts=5cd6cc22#","Instructor account creation over the web")</f>
        <v>Instructor account creation over the web</v>
      </c>
      <c r="D400" s="223" t="s">
        <v>2076</v>
      </c>
      <c r="E400" s="227" t="s">
        <v>2077</v>
      </c>
      <c r="F400" s="63" t="s">
        <v>18</v>
      </c>
      <c r="I400" s="63"/>
      <c r="J400" s="63"/>
      <c r="K400" s="89" t="s">
        <v>2078</v>
      </c>
      <c r="L400" s="226"/>
      <c r="M400" s="41" t="s">
        <v>2079</v>
      </c>
    </row>
    <row r="401">
      <c r="B401" s="223" t="s">
        <v>2080</v>
      </c>
      <c r="C401" s="224" t="str">
        <f>HYPERLINK("https://docs.google.com/document/d/1fI5KbPXCJ8dSUyLynnqC__A3MtZ47enNfMcki3Vf3uk/edit?ts=5cd6cc22#","Timestamps for students' submissions")</f>
        <v>Timestamps for students' submissions</v>
      </c>
      <c r="D401" s="223" t="s">
        <v>2081</v>
      </c>
      <c r="E401" s="227" t="s">
        <v>2082</v>
      </c>
      <c r="F401" s="105"/>
      <c r="I401" s="105"/>
      <c r="J401" s="105"/>
      <c r="K401" s="89" t="s">
        <v>2083</v>
      </c>
      <c r="L401" s="226"/>
      <c r="M401" s="41" t="s">
        <v>2084</v>
      </c>
    </row>
    <row r="402">
      <c r="B402" s="223" t="s">
        <v>2085</v>
      </c>
      <c r="C402" s="224" t="str">
        <f>HYPERLINK("https://docs.google.com/document/d/1fI5KbPXCJ8dSUyLynnqC__A3MtZ47enNfMcki3Vf3uk/edit?ts=5cd6cc22#","UI changes for review and score reports")</f>
        <v>UI changes for review and score reports</v>
      </c>
      <c r="D402" s="223" t="s">
        <v>2086</v>
      </c>
      <c r="E402" s="227" t="s">
        <v>2087</v>
      </c>
      <c r="F402" s="105"/>
      <c r="I402" s="105"/>
      <c r="J402" s="105"/>
      <c r="K402" s="89" t="s">
        <v>2088</v>
      </c>
      <c r="L402" s="226"/>
      <c r="M402" s="41" t="s">
        <v>2089</v>
      </c>
    </row>
    <row r="403">
      <c r="B403" s="223" t="s">
        <v>2090</v>
      </c>
      <c r="C403" s="224" t="str">
        <f>HYPERLINK("https://docs.google.com/document/d/1fI5KbPXCJ8dSUyLynnqC__A3MtZ47enNfMcki3Vf3uk/edit?ts=5cd6cc22#","Feature Test for Assignment Submission")</f>
        <v>Feature Test for Assignment Submission</v>
      </c>
      <c r="D403" s="223" t="s">
        <v>2091</v>
      </c>
      <c r="E403" s="227" t="s">
        <v>2092</v>
      </c>
      <c r="F403" s="63" t="s">
        <v>18</v>
      </c>
      <c r="I403" s="63"/>
      <c r="J403" s="63"/>
      <c r="K403" s="89" t="s">
        <v>2093</v>
      </c>
      <c r="L403" s="226"/>
      <c r="M403" s="41" t="s">
        <v>2094</v>
      </c>
    </row>
    <row r="404">
      <c r="B404" s="223" t="s">
        <v>2095</v>
      </c>
      <c r="C404" s="224" t="str">
        <f>HYPERLINK("https://docs.google.com/document/d/1fI5KbPXCJ8dSUyLynnqC__A3MtZ47enNfMcki3Vf3uk/edit?ts=5cd6cc22#","Team-based reviewing")</f>
        <v>Team-based reviewing</v>
      </c>
      <c r="D404" s="223" t="s">
        <v>2096</v>
      </c>
      <c r="E404" s="227" t="s">
        <v>2097</v>
      </c>
      <c r="F404" s="105"/>
      <c r="I404" s="105"/>
      <c r="J404" s="105"/>
      <c r="K404" s="89" t="s">
        <v>2098</v>
      </c>
      <c r="L404" s="226"/>
      <c r="M404" s="41" t="s">
        <v>2099</v>
      </c>
    </row>
    <row r="405">
      <c r="B405" s="223" t="s">
        <v>2100</v>
      </c>
      <c r="C405" s="224" t="str">
        <f>HYPERLINK("https://docs.google.com/document/d/1fI5KbPXCJ8dSUyLynnqC__A3MtZ47enNfMcki3Vf3uk/edit?ts=5cd6cc22#heading=h.f1o98enqaas7","Improve score calculation")</f>
        <v>Improve score calculation</v>
      </c>
      <c r="D405" s="223" t="s">
        <v>2101</v>
      </c>
      <c r="E405" s="227" t="s">
        <v>2102</v>
      </c>
      <c r="F405" s="105"/>
      <c r="I405" s="105"/>
      <c r="J405" s="105"/>
      <c r="K405" s="89" t="s">
        <v>2103</v>
      </c>
      <c r="L405" s="226"/>
      <c r="M405" s="41" t="s">
        <v>2104</v>
      </c>
    </row>
    <row r="406">
      <c r="B406" s="223" t="s">
        <v>2105</v>
      </c>
      <c r="C406" s="224" t="str">
        <f>HYPERLINK("https://docs.google.com/document/d/1fI5KbPXCJ8dSUyLynnqC__A3MtZ47enNfMcki3Vf3uk/edit?ts=5cd6cc22#","Refactor and test the quizzing feature")</f>
        <v>Refactor and test the quizzing feature</v>
      </c>
      <c r="D406" s="223" t="s">
        <v>2106</v>
      </c>
      <c r="E406" s="227" t="s">
        <v>2107</v>
      </c>
      <c r="F406" s="63" t="s">
        <v>18</v>
      </c>
      <c r="I406" s="63"/>
      <c r="J406" s="63"/>
      <c r="K406" s="89" t="s">
        <v>2108</v>
      </c>
      <c r="L406" s="226"/>
      <c r="M406" s="41" t="s">
        <v>2109</v>
      </c>
    </row>
    <row r="407">
      <c r="B407" s="223" t="s">
        <v>2110</v>
      </c>
      <c r="C407" s="224" t="str">
        <f>HYPERLINK("https://docs.google.com/document/d/1fI5KbPXCJ8dSUyLynnqC__A3MtZ47enNfMcki3Vf3uk/edit?ts=5cd6cc22#","Improve survey functionality")</f>
        <v>Improve survey functionality</v>
      </c>
      <c r="D407" s="223" t="s">
        <v>2111</v>
      </c>
      <c r="E407" s="227" t="s">
        <v>2112</v>
      </c>
      <c r="F407" s="105"/>
      <c r="I407" s="105"/>
      <c r="J407" s="105"/>
      <c r="K407" s="89" t="s">
        <v>2113</v>
      </c>
      <c r="L407" s="226"/>
      <c r="M407" s="41" t="s">
        <v>2114</v>
      </c>
    </row>
    <row r="408">
      <c r="B408" s="223" t="s">
        <v>2115</v>
      </c>
      <c r="C408" s="224" t="str">
        <f>HYPERLINK("https://docs.google.com/document/d/1fI5KbPXCJ8dSUyLynnqC__A3MtZ47enNfMcki3Vf3uk/edit?ts=5cd6cc22#heading=h.xj5bufukulm7","Let experts as well as students do reviews")</f>
        <v>Let experts as well as students do reviews</v>
      </c>
      <c r="D408" s="223" t="s">
        <v>2116</v>
      </c>
      <c r="E408" s="227" t="s">
        <v>2117</v>
      </c>
      <c r="F408" s="105"/>
      <c r="I408" s="105"/>
      <c r="J408" s="105"/>
      <c r="K408" s="89" t="s">
        <v>2118</v>
      </c>
      <c r="L408" s="226"/>
      <c r="M408" s="41" t="s">
        <v>2119</v>
      </c>
    </row>
    <row r="409">
      <c r="B409" s="223" t="s">
        <v>2120</v>
      </c>
      <c r="C409" s="224" t="str">
        <f>HYPERLINK("https://docs.google.com/document/d/1fI5KbPXCJ8dSUyLynnqC__A3MtZ47enNfMcki3Vf3uk/edit?ts=5cd6cc22#heading=h.2smhy83wv9rv","Review configuration options")</f>
        <v>Review configuration options</v>
      </c>
      <c r="D409" s="223" t="s">
        <v>2121</v>
      </c>
      <c r="E409" s="227" t="s">
        <v>2122</v>
      </c>
      <c r="F409" s="63" t="s">
        <v>1263</v>
      </c>
      <c r="I409" s="63"/>
      <c r="J409" s="63"/>
      <c r="K409" s="89" t="s">
        <v>2123</v>
      </c>
      <c r="L409" s="226"/>
      <c r="M409" s="41" t="s">
        <v>2124</v>
      </c>
    </row>
    <row r="410">
      <c r="B410" s="223" t="s">
        <v>2125</v>
      </c>
      <c r="C410" s="224" t="str">
        <f>HYPERLINK("https://docs.google.com/document/d/1fI5KbPXCJ8dSUyLynnqC__A3MtZ47enNfMcki3Vf3uk/edit?ts=5cd6cc22#heading=h.4e5a2duy5kiq","Text metrics")</f>
        <v>Text metrics</v>
      </c>
      <c r="D410" s="223" t="s">
        <v>2126</v>
      </c>
      <c r="E410" s="227" t="s">
        <v>2127</v>
      </c>
      <c r="F410" s="105"/>
      <c r="I410" s="105"/>
      <c r="J410" s="105"/>
      <c r="K410" s="89" t="s">
        <v>2128</v>
      </c>
      <c r="L410" s="226"/>
      <c r="M410" s="41" t="s">
        <v>2129</v>
      </c>
    </row>
    <row r="411">
      <c r="B411" s="223" t="s">
        <v>2130</v>
      </c>
      <c r="C411" s="224" t="str">
        <f>HYPERLINK("https://docs.google.com/document/d/1fI5KbPXCJ8dSUyLynnqC__A3MtZ47enNfMcki3Vf3uk/edit?ts=5cd6cc22#heading=h.8rlnrfkrm3ab","Role-based reviewing")</f>
        <v>Role-based reviewing</v>
      </c>
      <c r="D411" s="331" t="s">
        <v>2131</v>
      </c>
      <c r="E411" s="332" t="s">
        <v>2132</v>
      </c>
      <c r="F411" s="105"/>
      <c r="I411" s="105"/>
      <c r="J411" s="105"/>
      <c r="K411" s="89" t="s">
        <v>2133</v>
      </c>
      <c r="L411" s="226"/>
      <c r="M411" s="41" t="s">
        <v>2134</v>
      </c>
    </row>
    <row r="412">
      <c r="A412" s="60" t="s">
        <v>2135</v>
      </c>
      <c r="B412" s="333" t="s">
        <v>2136</v>
      </c>
      <c r="C412" s="334" t="str">
        <f>HYPERLINK("https://docs.google.com/document/d/1TFC0G3zW-xkJYuloh_BmvWnj3dGZB23GOIYuikNRf_I/edit?ts=5cd6cb96#","Timestamp for student file &amp; hyperlink submissions")</f>
        <v>Timestamp for student file &amp; hyperlink submissions</v>
      </c>
      <c r="D412" s="87" t="s">
        <v>2137</v>
      </c>
      <c r="E412" s="335" t="s">
        <v>2138</v>
      </c>
      <c r="F412" s="63" t="s">
        <v>1263</v>
      </c>
      <c r="I412" s="63"/>
      <c r="J412" s="63"/>
      <c r="K412" s="141" t="s">
        <v>2139</v>
      </c>
      <c r="L412" s="336"/>
      <c r="M412" s="89" t="s">
        <v>2140</v>
      </c>
    </row>
    <row r="413">
      <c r="B413" s="333" t="s">
        <v>2141</v>
      </c>
      <c r="C413" s="334" t="str">
        <f>HYPERLINK("https://docs.google.com/document/d/1TFC0G3zW-xkJYuloh_BmvWnj3dGZB23GOIYuikNRf_I/edit?ts=5cd6cb96#","Refactor leaderboard.rb and write unit tests")</f>
        <v>Refactor leaderboard.rb and write unit tests</v>
      </c>
      <c r="D413" s="87" t="s">
        <v>2142</v>
      </c>
      <c r="E413" s="335" t="s">
        <v>2143</v>
      </c>
      <c r="F413" s="105"/>
      <c r="I413" s="105"/>
      <c r="J413" s="105"/>
      <c r="K413" s="141" t="s">
        <v>2144</v>
      </c>
      <c r="L413" s="336"/>
      <c r="M413" s="89" t="s">
        <v>2145</v>
      </c>
    </row>
    <row r="414">
      <c r="B414" s="333" t="s">
        <v>2146</v>
      </c>
      <c r="C414" s="334" t="str">
        <f>HYPERLINK("https://docs.google.com/document/d/1TFC0G3zW-xkJYuloh_BmvWnj3dGZB23GOIYuikNRf_I/edit?ts=5cd6cb96#","Refactor [question_type].rb (eg. criterion.rb)")</f>
        <v>Refactor [question_type].rb (eg. criterion.rb)</v>
      </c>
      <c r="D414" s="87" t="s">
        <v>2147</v>
      </c>
      <c r="E414" s="335" t="s">
        <v>2148</v>
      </c>
      <c r="F414" s="63" t="s">
        <v>1263</v>
      </c>
      <c r="I414" s="63"/>
      <c r="J414" s="63"/>
      <c r="K414" s="141" t="s">
        <v>2149</v>
      </c>
      <c r="L414" s="336"/>
      <c r="M414" s="89" t="s">
        <v>2150</v>
      </c>
    </row>
    <row r="415">
      <c r="B415" s="333" t="s">
        <v>2151</v>
      </c>
      <c r="C415" s="334" t="str">
        <f>HYPERLINK("https://docs.google.com/document/d/1TFC0G3zW-xkJYuloh_BmvWnj3dGZB23GOIYuikNRf_I/edit?ts=5cd6cb96#","Remove duplicated code in feature tests")</f>
        <v>Remove duplicated code in feature tests</v>
      </c>
      <c r="D415" s="87" t="s">
        <v>2152</v>
      </c>
      <c r="E415" s="335" t="s">
        <v>2153</v>
      </c>
      <c r="F415" s="105"/>
      <c r="I415" s="105"/>
      <c r="J415" s="105"/>
      <c r="K415" s="141" t="s">
        <v>2154</v>
      </c>
      <c r="L415" s="336"/>
      <c r="M415" s="89" t="s">
        <v>2155</v>
      </c>
    </row>
    <row r="416">
      <c r="B416" s="333" t="s">
        <v>2156</v>
      </c>
      <c r="C416" s="334" t="str">
        <f>HYPERLINK("https://docs.google.com/document/d/1TFC0G3zW-xkJYuloh_BmvWnj3dGZB23GOIYuikNRf_I/edit?ts=5cd6cb96#","Unit tests for participants.rb hierarchy (assignment_participant, course_participant)")</f>
        <v>Unit tests for participants.rb hierarchy (assignment_participant, course_participant)</v>
      </c>
      <c r="D416" s="87" t="s">
        <v>2157</v>
      </c>
      <c r="E416" s="335" t="s">
        <v>2158</v>
      </c>
      <c r="F416" s="63" t="s">
        <v>18</v>
      </c>
      <c r="I416" s="63"/>
      <c r="J416" s="63"/>
      <c r="K416" s="141" t="s">
        <v>2159</v>
      </c>
      <c r="L416" s="336"/>
      <c r="M416" s="89" t="s">
        <v>2160</v>
      </c>
    </row>
    <row r="417">
      <c r="B417" s="333" t="s">
        <v>2161</v>
      </c>
      <c r="C417" s="334" t="str">
        <f>HYPERLINK("https://docs.google.com/document/d/1TFC0G3zW-xkJYuloh_BmvWnj3dGZB23GOIYuikNRf_I/edit?ts=5cd6cb96#","Unit tests for answers.rb")</f>
        <v>Unit tests for answers.rb</v>
      </c>
      <c r="D417" s="87" t="s">
        <v>2162</v>
      </c>
      <c r="E417" s="335" t="s">
        <v>2163</v>
      </c>
      <c r="F417" s="63" t="s">
        <v>18</v>
      </c>
      <c r="I417" s="63"/>
      <c r="J417" s="63"/>
      <c r="K417" s="141" t="s">
        <v>2164</v>
      </c>
      <c r="L417" s="336"/>
      <c r="M417" s="89" t="s">
        <v>2165</v>
      </c>
    </row>
    <row r="418">
      <c r="B418" s="333" t="s">
        <v>2166</v>
      </c>
      <c r="C418" s="334" t="str">
        <f>HYPERLINK("https://docs.google.com/document/d/1TFC0G3zW-xkJYuloh_BmvWnj3dGZB23GOIYuikNRf_I/edit?ts=5cd6cb96#","Test various kinds of response map hierarchies")</f>
        <v>Test various kinds of response map hierarchies</v>
      </c>
      <c r="D418" s="87" t="s">
        <v>2167</v>
      </c>
      <c r="E418" s="335" t="s">
        <v>2168</v>
      </c>
      <c r="F418" s="105"/>
      <c r="I418" s="105"/>
      <c r="J418" s="105"/>
      <c r="K418" s="141" t="s">
        <v>2169</v>
      </c>
      <c r="L418" s="336"/>
      <c r="M418" s="89" t="s">
        <v>2170</v>
      </c>
    </row>
    <row r="419">
      <c r="B419" s="333" t="s">
        <v>2171</v>
      </c>
      <c r="C419" s="334" t="str">
        <f>HYPERLINK("https://docs.google.com/document/d/1TFC0G3zW-xkJYuloh_BmvWnj3dGZB23GOIYuikNRf_I/edit?ts=5cd6cb96#","Test e-mailing functionality")</f>
        <v>Test e-mailing functionality</v>
      </c>
      <c r="D419" s="87" t="s">
        <v>2172</v>
      </c>
      <c r="E419" s="335" t="s">
        <v>2173</v>
      </c>
      <c r="F419" s="105"/>
      <c r="I419" s="105"/>
      <c r="J419" s="105"/>
      <c r="K419" s="141" t="s">
        <v>2174</v>
      </c>
      <c r="L419" s="336"/>
      <c r="M419" s="89" t="s">
        <v>2175</v>
      </c>
    </row>
    <row r="420">
      <c r="B420" s="333" t="s">
        <v>2176</v>
      </c>
      <c r="C420" s="334" t="str">
        <f>HYPERLINK("https://docs.google.com/document/d/1TFC0G3zW-xkJYuloh_BmvWnj3dGZB23GOIYuikNRf_I/edit?ts=5cd6cb96#","Test heat map for viewing scores")</f>
        <v>Test heat map for viewing scores</v>
      </c>
      <c r="D420" s="87" t="s">
        <v>2177</v>
      </c>
      <c r="E420" s="335" t="s">
        <v>2178</v>
      </c>
      <c r="F420" s="105"/>
      <c r="I420" s="105"/>
      <c r="J420" s="105"/>
      <c r="K420" s="141" t="s">
        <v>2179</v>
      </c>
      <c r="L420" s="336"/>
      <c r="M420" s="89" t="s">
        <v>2180</v>
      </c>
    </row>
    <row r="421">
      <c r="B421" s="333" t="s">
        <v>2181</v>
      </c>
      <c r="C421" s="334" t="str">
        <f>HYPERLINK("https://docs.google.com/document/d/1TFC0G3zW-xkJYuloh_BmvWnj3dGZB23GOIYuikNRf_I/edit?ts=5cd6cb96#","Test team functionality")</f>
        <v>Test team functionality</v>
      </c>
      <c r="D421" s="87" t="s">
        <v>2182</v>
      </c>
      <c r="E421" s="335" t="s">
        <v>2183</v>
      </c>
      <c r="F421" s="105"/>
      <c r="I421" s="105"/>
      <c r="J421" s="105"/>
      <c r="K421" s="141" t="s">
        <v>2184</v>
      </c>
      <c r="L421" s="336"/>
      <c r="M421" s="89" t="s">
        <v>2185</v>
      </c>
    </row>
    <row r="422">
      <c r="B422" s="333" t="s">
        <v>2186</v>
      </c>
      <c r="C422" s="334" t="str">
        <f>HYPERLINK("https://docs.google.com/document/d/1TFC0G3zW-xkJYuloh_BmvWnj3dGZB23GOIYuikNRf_I/edit?ts=5cd6cb96#","Test staggered-deadline functionality")</f>
        <v>Test staggered-deadline functionality</v>
      </c>
      <c r="D422" s="87" t="s">
        <v>2187</v>
      </c>
      <c r="E422" s="335" t="s">
        <v>2188</v>
      </c>
      <c r="F422" s="63" t="s">
        <v>18</v>
      </c>
      <c r="I422" s="63"/>
      <c r="J422" s="63"/>
      <c r="K422" s="141" t="s">
        <v>2189</v>
      </c>
      <c r="L422" s="336"/>
      <c r="M422" s="89" t="s">
        <v>2190</v>
      </c>
    </row>
    <row r="423">
      <c r="B423" s="333" t="s">
        <v>2191</v>
      </c>
      <c r="C423" s="334" t="str">
        <f>HYPERLINK("https://docs.google.com/document/d/1TFC0G3zW-xkJYuloh_BmvWnj3dGZB23GOIYuikNRf_I/edit?ts=5cd6cb96#heading=h.e0l44n67t08i","Feature test for assignment creation via instructor")</f>
        <v>Feature test for assignment creation via instructor</v>
      </c>
      <c r="D423" s="87" t="s">
        <v>2192</v>
      </c>
      <c r="E423" s="335" t="s">
        <v>2193</v>
      </c>
      <c r="F423" s="63" t="s">
        <v>1263</v>
      </c>
      <c r="I423" s="63"/>
      <c r="J423" s="63"/>
      <c r="K423" s="141" t="s">
        <v>2194</v>
      </c>
      <c r="L423" s="336"/>
      <c r="M423" s="89" t="s">
        <v>2195</v>
      </c>
    </row>
    <row r="424">
      <c r="B424" s="333" t="s">
        <v>2196</v>
      </c>
      <c r="C424" s="334" t="str">
        <f>HYPERLINK("https://docs.google.com/document/d/1TFC0G3zW-xkJYuloh_BmvWnj3dGZB23GOIYuikNRf_I/edit?ts=5cd6cb96#heading=h.bm31nxstq0ec","Use Ajax for adding participants, TA, Edit Questionnaires screens")</f>
        <v>Use Ajax for adding participants, TA, Edit Questionnaires screens</v>
      </c>
      <c r="D424" s="87" t="s">
        <v>2197</v>
      </c>
      <c r="E424" s="335" t="s">
        <v>2198</v>
      </c>
      <c r="F424" s="105"/>
      <c r="I424" s="105"/>
      <c r="J424" s="105"/>
      <c r="K424" s="141" t="s">
        <v>2199</v>
      </c>
      <c r="L424" s="336"/>
      <c r="M424" s="89" t="s">
        <v>2200</v>
      </c>
    </row>
    <row r="425">
      <c r="B425" s="333" t="s">
        <v>2201</v>
      </c>
      <c r="C425" s="334" t="str">
        <f>HYPERLINK("https://docs.google.com/document/d/1TFC0G3zW-xkJYuloh_BmvWnj3dGZB23GOIYuikNRf_I/edit?ts=5cd6cb96#heading=h.eofpau5mkd1q","UI issues/fixes")</f>
        <v>UI issues/fixes</v>
      </c>
      <c r="D425" s="87" t="s">
        <v>2202</v>
      </c>
      <c r="E425" s="335" t="s">
        <v>2203</v>
      </c>
      <c r="F425" s="105"/>
      <c r="I425" s="105"/>
      <c r="J425" s="105"/>
      <c r="K425" s="337" t="s">
        <v>2204</v>
      </c>
      <c r="L425" s="336"/>
      <c r="M425" s="89" t="s">
        <v>2205</v>
      </c>
    </row>
    <row r="426">
      <c r="B426" s="333" t="s">
        <v>2206</v>
      </c>
      <c r="C426" s="334" t="str">
        <f>HYPERLINK("https://docs.google.com/document/d/1TFC0G3zW-xkJYuloh_BmvWnj3dGZB23GOIYuikNRf_I/edit?ts=5cd6cb96#heading=h.agxmjqale85g","Reviewer-round matrix for viewing scores from different rounds")</f>
        <v>Reviewer-round matrix for viewing scores from different rounds</v>
      </c>
      <c r="D426" s="87" t="s">
        <v>2207</v>
      </c>
      <c r="E426" s="335" t="s">
        <v>2208</v>
      </c>
      <c r="F426" s="105"/>
      <c r="I426" s="105"/>
      <c r="J426" s="105"/>
      <c r="K426" s="141" t="s">
        <v>2209</v>
      </c>
      <c r="L426" s="336"/>
      <c r="M426" s="89" t="s">
        <v>2210</v>
      </c>
    </row>
    <row r="427">
      <c r="B427" s="333" t="s">
        <v>2211</v>
      </c>
      <c r="C427" s="334" t="str">
        <f>HYPERLINK("https://docs.google.com/document/d/1TFC0G3zW-xkJYuloh_BmvWnj3dGZB23GOIYuikNRf_I/edit?ts=5cd6cb96#heading=h.pn478thyy2dv","Review requirements and thresholds")</f>
        <v>Review requirements and thresholds</v>
      </c>
      <c r="D427" s="87" t="s">
        <v>2212</v>
      </c>
      <c r="E427" s="335" t="s">
        <v>2213</v>
      </c>
      <c r="F427" s="105"/>
      <c r="I427" s="105"/>
      <c r="J427" s="105"/>
      <c r="K427" s="141" t="s">
        <v>2214</v>
      </c>
      <c r="L427" s="336"/>
      <c r="M427" s="89" t="s">
        <v>2215</v>
      </c>
    </row>
    <row r="428">
      <c r="B428" s="333" t="s">
        <v>2216</v>
      </c>
      <c r="C428" s="334" t="str">
        <f>HYPERLINK("https://docs.google.com/document/d/1TFC0G3zW-xkJYuloh_BmvWnj3dGZB23GOIYuikNRf_I/edit?ts=5cd6cb96#heading=h.svo1932prz62","Refactor on_the_fly_calc.rb")</f>
        <v>Refactor on_the_fly_calc.rb</v>
      </c>
      <c r="D428" s="87" t="s">
        <v>2217</v>
      </c>
      <c r="E428" s="335" t="s">
        <v>2218</v>
      </c>
      <c r="F428" s="63" t="s">
        <v>18</v>
      </c>
      <c r="I428" s="63"/>
      <c r="J428" s="63"/>
      <c r="K428" s="141" t="s">
        <v>2219</v>
      </c>
      <c r="L428" s="336"/>
      <c r="M428" s="89" t="s">
        <v>2220</v>
      </c>
    </row>
    <row r="429">
      <c r="B429" s="333" t="s">
        <v>2221</v>
      </c>
      <c r="C429" s="334" t="str">
        <f>HYPERLINK("https://docs.google.com/document/d/1TFC0G3zW-xkJYuloh_BmvWnj3dGZB23GOIYuikNRf_I/edit?ts=5cd6cb96#heading=h.p3o48s649xra","Refactor lottery_controller.rb and write integration tests")</f>
        <v>Refactor lottery_controller.rb and write integration tests</v>
      </c>
      <c r="D429" s="87" t="s">
        <v>2222</v>
      </c>
      <c r="E429" s="335" t="s">
        <v>2223</v>
      </c>
      <c r="F429" s="63" t="s">
        <v>18</v>
      </c>
      <c r="I429" s="63"/>
      <c r="J429" s="63"/>
      <c r="K429" s="141" t="s">
        <v>2224</v>
      </c>
      <c r="L429" s="336"/>
      <c r="M429" s="89" t="s">
        <v>2225</v>
      </c>
    </row>
    <row r="430">
      <c r="B430" s="333" t="s">
        <v>2226</v>
      </c>
      <c r="C430" s="334" t="str">
        <f>HYPERLINK("https://docs.google.com/document/d/1TFC0G3zW-xkJYuloh_BmvWnj3dGZB23GOIYuikNRf_I/edit?ts=5cd6cb96#heading=h.onvryi5qchrp","Introduce a Student View for instructors")</f>
        <v>Introduce a Student View for instructors</v>
      </c>
      <c r="D430" s="87" t="s">
        <v>2227</v>
      </c>
      <c r="E430" s="335" t="s">
        <v>2228</v>
      </c>
      <c r="F430" s="105"/>
      <c r="I430" s="105"/>
      <c r="J430" s="105"/>
      <c r="K430" s="141" t="s">
        <v>2229</v>
      </c>
      <c r="L430" s="336"/>
      <c r="M430" s="89" t="s">
        <v>2230</v>
      </c>
    </row>
    <row r="431">
      <c r="B431" s="333" t="s">
        <v>2231</v>
      </c>
      <c r="C431" s="334" t="str">
        <f>HYPERLINK("https://docs.google.com/document/d/1TFC0G3zW-xkJYuloh_BmvWnj3dGZB23GOIYuikNRf_I/edit?ts=5cd6cb96#heading=h.6x0j1phxjm0v","Improve imports")</f>
        <v>Improve imports</v>
      </c>
      <c r="D431" s="87" t="s">
        <v>2232</v>
      </c>
      <c r="E431" s="335" t="s">
        <v>2233</v>
      </c>
      <c r="F431" s="105"/>
      <c r="I431" s="105"/>
      <c r="J431" s="105"/>
      <c r="K431" s="141" t="s">
        <v>2234</v>
      </c>
      <c r="L431" s="336"/>
      <c r="M431" s="89" t="s">
        <v>2235</v>
      </c>
    </row>
    <row r="432">
      <c r="B432" s="333" t="s">
        <v>2236</v>
      </c>
      <c r="C432" s="334" t="str">
        <f>HYPERLINK("https://docs.google.com/document/d/1TFC0G3zW-xkJYuloh_BmvWnj3dGZB23GOIYuikNRf_I/edit?ts=5cd6cb96#heading=h.gotokttmnzv3","Improve e-mail notifications")</f>
        <v>Improve e-mail notifications</v>
      </c>
      <c r="D432" s="87" t="s">
        <v>2237</v>
      </c>
      <c r="E432" s="335" t="s">
        <v>2238</v>
      </c>
      <c r="F432" s="105"/>
      <c r="I432" s="105"/>
      <c r="J432" s="105"/>
      <c r="K432" s="141" t="s">
        <v>2239</v>
      </c>
      <c r="L432" s="336"/>
      <c r="M432" s="89" t="s">
        <v>2240</v>
      </c>
    </row>
    <row r="433">
      <c r="B433" s="333" t="s">
        <v>2241</v>
      </c>
      <c r="C433" s="334" t="str">
        <f>HYPERLINK("https://docs.google.com/document/d/1TFC0G3zW-xkJYuloh_BmvWnj3dGZB23GOIYuikNRf_I/edit?ts=5cd6cb96#heading=h.zfiv4144svin","Improve date-picker and deadlines")</f>
        <v>Improve date-picker and deadlines</v>
      </c>
      <c r="D433" s="87" t="s">
        <v>2242</v>
      </c>
      <c r="E433" s="335" t="s">
        <v>2243</v>
      </c>
      <c r="F433" s="63" t="s">
        <v>18</v>
      </c>
      <c r="I433" s="63"/>
      <c r="J433" s="63"/>
      <c r="K433" s="141" t="s">
        <v>2244</v>
      </c>
      <c r="L433" s="336"/>
      <c r="M433" s="89" t="s">
        <v>2245</v>
      </c>
    </row>
    <row r="434">
      <c r="B434" s="333" t="s">
        <v>2246</v>
      </c>
      <c r="C434" s="334" t="str">
        <f>HYPERLINK("https://docs.google.com/document/d/1TFC0G3zW-xkJYuloh_BmvWnj3dGZB23GOIYuikNRf_I/edit?ts=5cd6cb96#heading=h.cg72qxjjh0bk","Fix and improve rubric criteria")</f>
        <v>Fix and improve rubric criteria</v>
      </c>
      <c r="D434" s="87" t="s">
        <v>2247</v>
      </c>
      <c r="E434" s="335" t="s">
        <v>2248</v>
      </c>
      <c r="F434" s="105"/>
      <c r="I434" s="105"/>
      <c r="J434" s="105"/>
      <c r="K434" s="141" t="s">
        <v>2249</v>
      </c>
      <c r="L434" s="336"/>
      <c r="M434" s="89" t="s">
        <v>2250</v>
      </c>
    </row>
    <row r="435">
      <c r="B435" s="333" t="s">
        <v>2251</v>
      </c>
      <c r="C435" s="334" t="str">
        <f>HYPERLINK("https://docs.google.com/document/d/1TFC0G3zW-xkJYuloh_BmvWnj3dGZB23GOIYuikNRf_I/edit?ts=5cd6cb96#heading=h.yaodnlqemtd0","Fix teammate advertisements and requests to join a team")</f>
        <v>Fix teammate advertisements and requests to join a team</v>
      </c>
      <c r="D435" s="87" t="s">
        <v>2252</v>
      </c>
      <c r="E435" s="335" t="s">
        <v>2253</v>
      </c>
      <c r="F435" s="105"/>
      <c r="I435" s="105"/>
      <c r="J435" s="105"/>
      <c r="K435" s="141" t="s">
        <v>2254</v>
      </c>
      <c r="L435" s="336"/>
      <c r="M435" s="89" t="s">
        <v>2255</v>
      </c>
    </row>
    <row r="436">
      <c r="B436" s="333" t="s">
        <v>2256</v>
      </c>
      <c r="C436" s="334" t="str">
        <f>HYPERLINK("https://docs.google.com/document/d/1TFC0G3zW-xkJYuloh_BmvWnj3dGZB23GOIYuikNRf_I/edit?ts=5cd6cb96#heading=h.5v3hkwirc23t","Course teams and submission directories")</f>
        <v>Course teams and submission directories</v>
      </c>
      <c r="D436" s="87" t="s">
        <v>2257</v>
      </c>
      <c r="E436" s="335" t="s">
        <v>2258</v>
      </c>
      <c r="F436" s="63" t="s">
        <v>18</v>
      </c>
      <c r="I436" s="63"/>
      <c r="J436" s="63"/>
      <c r="K436" s="141" t="s">
        <v>2259</v>
      </c>
      <c r="L436" s="336"/>
      <c r="M436" s="89" t="s">
        <v>2260</v>
      </c>
    </row>
    <row r="437">
      <c r="B437" s="333" t="s">
        <v>2261</v>
      </c>
      <c r="C437" s="334" t="str">
        <f>HYPERLINK("https://docs.google.com/document/d/1TFC0G3zW-xkJYuloh_BmvWnj3dGZB23GOIYuikNRf_I/edit?ts=5cd6cb96#heading=h.vmtsf6n8tyey","Sort instructor views alphabetically by default")</f>
        <v>Sort instructor views alphabetically by default</v>
      </c>
      <c r="D437" s="87" t="s">
        <v>2262</v>
      </c>
      <c r="E437" s="335" t="s">
        <v>2263</v>
      </c>
      <c r="F437" s="63" t="s">
        <v>18</v>
      </c>
      <c r="I437" s="63"/>
      <c r="J437" s="63"/>
      <c r="K437" s="141" t="s">
        <v>2264</v>
      </c>
      <c r="L437" s="336"/>
      <c r="M437" s="89" t="s">
        <v>2265</v>
      </c>
    </row>
    <row r="438">
      <c r="B438" s="333" t="s">
        <v>2266</v>
      </c>
      <c r="C438" s="334" t="str">
        <f>HYPERLINK("https://docs.google.com/document/d/1TFC0G3zW-xkJYuloh_BmvWnj3dGZB23GOIYuikNRf_I/edit?ts=5cd6cb96#heading=h.7qqnt03nm3xy","Allow instructor to sign students up for topics and drop them")</f>
        <v>Allow instructor to sign students up for topics and drop them</v>
      </c>
      <c r="D438" s="87" t="s">
        <v>2267</v>
      </c>
      <c r="E438" s="335" t="s">
        <v>2268</v>
      </c>
      <c r="F438" s="105"/>
      <c r="I438" s="105"/>
      <c r="J438" s="105"/>
      <c r="K438" s="141" t="s">
        <v>2269</v>
      </c>
      <c r="L438" s="336"/>
      <c r="M438" s="89" t="s">
        <v>2270</v>
      </c>
    </row>
    <row r="439">
      <c r="B439" s="333" t="s">
        <v>2271</v>
      </c>
      <c r="C439" s="334" t="str">
        <f>HYPERLINK("https://docs.google.com/document/d/1TFC0G3zW-xkJYuloh_BmvWnj3dGZB23GOIYuikNRf_I/edit?ts=5cd6cb96#heading=h.ybtwm35q85l7","Add past-due assignments to task list")</f>
        <v>Add past-due assignments to task list</v>
      </c>
      <c r="D439" s="87" t="s">
        <v>2272</v>
      </c>
      <c r="E439" s="335" t="s">
        <v>2273</v>
      </c>
      <c r="F439" s="63" t="s">
        <v>1263</v>
      </c>
      <c r="I439" s="63"/>
      <c r="J439" s="63"/>
      <c r="K439" s="141" t="s">
        <v>2274</v>
      </c>
      <c r="L439" s="336"/>
      <c r="M439" s="89" t="s">
        <v>2275</v>
      </c>
    </row>
    <row r="440">
      <c r="B440" s="228" t="s">
        <v>2276</v>
      </c>
      <c r="C440" s="229" t="str">
        <f>HYPERLINK("https://docs.google.com/document/d/1TFC0G3zW-xkJYuloh_BmvWnj3dGZB23GOIYuikNRf_I/edit?ts=5cd6cb96#heading=h.n82asa5kxaas","Refactor versions_controller.rb")</f>
        <v>Refactor versions_controller.rb</v>
      </c>
      <c r="D440" s="338" t="s">
        <v>23</v>
      </c>
      <c r="E440" s="339"/>
      <c r="F440" s="220"/>
      <c r="G440" s="85"/>
      <c r="H440" s="85"/>
      <c r="I440" s="220"/>
      <c r="J440" s="220"/>
      <c r="K440" s="194"/>
      <c r="L440" s="85"/>
      <c r="M440" s="194"/>
    </row>
    <row r="441">
      <c r="B441" s="228" t="s">
        <v>2277</v>
      </c>
      <c r="C441" s="229" t="str">
        <f>HYPERLINK("https://docs.google.com/document/d/1TFC0G3zW-xkJYuloh_BmvWnj3dGZB23GOIYuikNRf_I/edit?ts=5cd6cb96#heading=h.nhzb2yhwzebk","Refactor user.rb and users_controller.rb")</f>
        <v>Refactor user.rb and users_controller.rb</v>
      </c>
      <c r="D441" s="338" t="s">
        <v>23</v>
      </c>
      <c r="E441" s="339"/>
      <c r="F441" s="220"/>
      <c r="G441" s="85"/>
      <c r="H441" s="85"/>
      <c r="I441" s="220"/>
      <c r="J441" s="220"/>
      <c r="K441" s="194"/>
      <c r="L441" s="85"/>
      <c r="M441" s="194"/>
    </row>
    <row r="442">
      <c r="B442" s="333" t="s">
        <v>2278</v>
      </c>
      <c r="C442" s="334" t="str">
        <f>HYPERLINK("https://docs.google.com/document/d/1TFC0G3zW-xkJYuloh_BmvWnj3dGZB23GOIYuikNRf_I/edit?ts=5cd6cb96#heading=h.9ckhfgeob7fm","Refactor tree_display_controller.rb")</f>
        <v>Refactor tree_display_controller.rb</v>
      </c>
      <c r="D442" s="87" t="s">
        <v>2279</v>
      </c>
      <c r="E442" s="335" t="s">
        <v>2280</v>
      </c>
      <c r="F442" s="63" t="s">
        <v>18</v>
      </c>
      <c r="I442" s="63"/>
      <c r="J442" s="63"/>
      <c r="K442" s="141" t="s">
        <v>2281</v>
      </c>
      <c r="L442" s="336"/>
      <c r="M442" s="89" t="s">
        <v>2282</v>
      </c>
    </row>
    <row r="443">
      <c r="B443" s="333" t="s">
        <v>2283</v>
      </c>
      <c r="C443" s="334" t="str">
        <f>HYPERLINK("https://docs.google.com/document/d/1TFC0G3zW-xkJYuloh_BmvWnj3dGZB23GOIYuikNRf_I/edit?ts=5cd6cb96#heading=h.h2fu8jrjqnp6","Refactor and test TeamsController.rb")</f>
        <v>Refactor and test TeamsController.rb</v>
      </c>
      <c r="D443" s="87" t="s">
        <v>2284</v>
      </c>
      <c r="E443" s="335" t="s">
        <v>2285</v>
      </c>
      <c r="F443" s="63" t="s">
        <v>18</v>
      </c>
      <c r="I443" s="63"/>
      <c r="J443" s="63"/>
      <c r="K443" s="141" t="s">
        <v>2286</v>
      </c>
      <c r="L443" s="336"/>
      <c r="M443" s="89" t="s">
        <v>2287</v>
      </c>
    </row>
    <row r="444">
      <c r="B444" s="333" t="s">
        <v>2288</v>
      </c>
      <c r="C444" s="334" t="str">
        <f>HYPERLINK("https://docs.google.com/document/d/1TFC0G3zW-xkJYuloh_BmvWnj3dGZB23GOIYuikNRf_I/edit?ts=5cd6cb96#heading=h.gxhpx770pg0l","Refactor suggestion_controller.rb")</f>
        <v>Refactor suggestion_controller.rb</v>
      </c>
      <c r="D444" s="87" t="s">
        <v>2289</v>
      </c>
      <c r="E444" s="335" t="s">
        <v>2290</v>
      </c>
      <c r="F444" s="63" t="s">
        <v>1263</v>
      </c>
      <c r="I444" s="63"/>
      <c r="J444" s="63"/>
      <c r="K444" s="141" t="s">
        <v>2291</v>
      </c>
      <c r="L444" s="336"/>
      <c r="M444" s="89" t="s">
        <v>2292</v>
      </c>
    </row>
    <row r="445">
      <c r="B445" s="333" t="s">
        <v>2293</v>
      </c>
      <c r="C445" s="334" t="str">
        <f>HYPERLINK("https://docs.google.com/document/d/1TFC0G3zW-xkJYuloh_BmvWnj3dGZB23GOIYuikNRf_I/edit?ts=5cd6cb96#heading=h.s6j15a37o9dp","Refactor review_response_map.rb")</f>
        <v>Refactor review_response_map.rb</v>
      </c>
      <c r="D445" s="87" t="s">
        <v>2294</v>
      </c>
      <c r="E445" s="335" t="s">
        <v>2295</v>
      </c>
      <c r="F445" s="63" t="s">
        <v>1263</v>
      </c>
      <c r="I445" s="63"/>
      <c r="J445" s="63"/>
      <c r="K445" s="141" t="s">
        <v>2296</v>
      </c>
      <c r="L445" s="336"/>
      <c r="M445" s="89" t="s">
        <v>2297</v>
      </c>
    </row>
    <row r="446">
      <c r="B446" s="333" t="s">
        <v>2298</v>
      </c>
      <c r="C446" s="334" t="str">
        <f>HYPERLINK("https://docs.google.com/document/d/1TFC0G3zW-xkJYuloh_BmvWnj3dGZB23GOIYuikNRf_I/edit?ts=5cd6cb96#heading=h.x9828mk2y8d7","Refactor review_mapping_controller.rb")</f>
        <v>Refactor review_mapping_controller.rb</v>
      </c>
      <c r="D446" s="87" t="s">
        <v>2299</v>
      </c>
      <c r="E446" s="335" t="s">
        <v>2300</v>
      </c>
      <c r="F446" s="63" t="s">
        <v>1263</v>
      </c>
      <c r="I446" s="63"/>
      <c r="J446" s="63"/>
      <c r="K446" s="141" t="s">
        <v>2301</v>
      </c>
      <c r="L446" s="336"/>
      <c r="M446" s="89" t="s">
        <v>2302</v>
      </c>
    </row>
    <row r="447">
      <c r="B447" s="333" t="s">
        <v>2303</v>
      </c>
      <c r="C447" s="334" t="str">
        <f>HYPERLINK("https://docs.google.com/document/d/1TFC0G3zW-xkJYuloh_BmvWnj3dGZB23GOIYuikNRf_I/edit?ts=5cd6cb96#","Refactor response.rb and response_helper.rb")</f>
        <v>Refactor response.rb and response_helper.rb</v>
      </c>
      <c r="D447" s="87" t="s">
        <v>2304</v>
      </c>
      <c r="E447" s="335" t="s">
        <v>2305</v>
      </c>
      <c r="F447" s="63" t="s">
        <v>1263</v>
      </c>
      <c r="I447" s="63"/>
      <c r="J447" s="63"/>
      <c r="K447" s="141" t="s">
        <v>2306</v>
      </c>
      <c r="L447" s="336"/>
      <c r="M447" s="89" t="s">
        <v>2307</v>
      </c>
    </row>
    <row r="448">
      <c r="B448" s="333" t="s">
        <v>2308</v>
      </c>
      <c r="C448" s="334" t="str">
        <f>HYPERLINK("https://docs.google.com/document/d/1TFC0G3zW-xkJYuloh_BmvWnj3dGZB23GOIYuikNRf_I/edit?ts=5cd6cb96#","Refactor response_controller.rb")</f>
        <v>Refactor response_controller.rb</v>
      </c>
      <c r="D448" s="87" t="s">
        <v>2309</v>
      </c>
      <c r="E448" s="335" t="s">
        <v>2310</v>
      </c>
      <c r="F448" s="63" t="s">
        <v>1263</v>
      </c>
      <c r="I448" s="63"/>
      <c r="J448" s="63"/>
      <c r="K448" s="141" t="s">
        <v>2311</v>
      </c>
      <c r="L448" s="336"/>
      <c r="M448" s="89" t="s">
        <v>2312</v>
      </c>
    </row>
    <row r="449">
      <c r="B449" s="228" t="s">
        <v>2313</v>
      </c>
      <c r="C449" s="229" t="str">
        <f>HYPERLINK("https://docs.google.com/document/d/1TFC0G3zW-xkJYuloh_BmvWnj3dGZB23GOIYuikNRf_I/edit?ts=5cd6cb96#heading=h.y4vnc82x5yxp","Refactor questionnaires_controller.rb")</f>
        <v>Refactor questionnaires_controller.rb</v>
      </c>
      <c r="D449" s="338" t="s">
        <v>23</v>
      </c>
      <c r="E449" s="339"/>
      <c r="F449" s="220"/>
      <c r="G449" s="85"/>
      <c r="H449" s="85"/>
      <c r="I449" s="220"/>
      <c r="J449" s="220"/>
      <c r="K449" s="194"/>
      <c r="L449" s="85"/>
      <c r="M449" s="194"/>
    </row>
    <row r="450">
      <c r="B450" s="333" t="s">
        <v>2314</v>
      </c>
      <c r="C450" s="334" t="str">
        <f>HYPERLINK("https://docs.google.com/document/d/1TFC0G3zW-xkJYuloh_BmvWnj3dGZB23GOIYuikNRf_I/edit?ts=5cd6cb96#","Refactor penalty_helper.rb and late_policies_controller.rb")</f>
        <v>Refactor penalty_helper.rb and late_policies_controller.rb</v>
      </c>
      <c r="D450" s="87" t="s">
        <v>2315</v>
      </c>
      <c r="E450" s="335" t="s">
        <v>2316</v>
      </c>
      <c r="F450" s="105"/>
      <c r="I450" s="105"/>
      <c r="J450" s="105"/>
      <c r="K450" s="156" t="s">
        <v>2317</v>
      </c>
      <c r="L450" s="336"/>
      <c r="M450" s="89" t="s">
        <v>2318</v>
      </c>
    </row>
    <row r="451">
      <c r="B451" s="228" t="s">
        <v>2319</v>
      </c>
      <c r="C451" s="229" t="str">
        <f>HYPERLINK("https://docs.google.com/document/d/1TFC0G3zW-xkJYuloh_BmvWnj3dGZB23GOIYuikNRf_I/edit?ts=5cd6cb96#","Refactor and test menu_items_controller.rb")</f>
        <v>Refactor and test menu_items_controller.rb</v>
      </c>
      <c r="D451" s="338" t="s">
        <v>23</v>
      </c>
      <c r="E451" s="339"/>
      <c r="F451" s="220"/>
      <c r="G451" s="85"/>
      <c r="H451" s="85"/>
      <c r="I451" s="220"/>
      <c r="J451" s="220"/>
      <c r="K451" s="194"/>
      <c r="L451" s="85"/>
      <c r="M451" s="194"/>
    </row>
    <row r="452">
      <c r="B452" s="333" t="s">
        <v>2320</v>
      </c>
      <c r="C452" s="334" t="str">
        <f>HYPERLINK("https://docs.google.com/document/d/1TFC0G3zW-xkJYuloh_BmvWnj3dGZB23GOIYuikNRf_I/edit?ts=5cd6cb96#","Refactor join_team_requests_controller.rb and invitation_controller.rb")</f>
        <v>Refactor join_team_requests_controller.rb and invitation_controller.rb</v>
      </c>
      <c r="D452" s="87" t="s">
        <v>2321</v>
      </c>
      <c r="E452" s="335" t="s">
        <v>2322</v>
      </c>
      <c r="F452" s="105"/>
      <c r="I452" s="105"/>
      <c r="J452" s="105"/>
      <c r="K452" s="141" t="s">
        <v>2323</v>
      </c>
      <c r="L452" s="336"/>
      <c r="M452" s="89" t="s">
        <v>2324</v>
      </c>
    </row>
    <row r="453">
      <c r="B453" s="333" t="s">
        <v>2325</v>
      </c>
      <c r="C453" s="334" t="str">
        <f>HYPERLINK("https://docs.google.com/document/d/1TFC0G3zW-xkJYuloh_BmvWnj3dGZB23GOIYuikNRf_I/edit?ts=5cd6cb96#heading=h.d9mkmtrcg7go","Refactor and write unit test of due_date.rb and deadline_helper.rb")</f>
        <v>Refactor and write unit test of due_date.rb and deadline_helper.rb</v>
      </c>
      <c r="D453" s="87" t="s">
        <v>2326</v>
      </c>
      <c r="E453" s="335" t="s">
        <v>2327</v>
      </c>
      <c r="F453" s="63" t="s">
        <v>18</v>
      </c>
      <c r="I453" s="63"/>
      <c r="J453" s="63"/>
      <c r="K453" s="141" t="s">
        <v>2328</v>
      </c>
      <c r="L453" s="336"/>
      <c r="M453" s="89" t="s">
        <v>2329</v>
      </c>
    </row>
    <row r="454">
      <c r="B454" s="333" t="s">
        <v>2330</v>
      </c>
      <c r="C454" s="334" t="str">
        <f>HYPERLINK("https://docs.google.com/document/d/1TFC0G3zW-xkJYuloh_BmvWnj3dGZB23GOIYuikNRf_I/edit?ts=5cd6cb96#heading=h.avfeqoxc3ax","Refactor different question types from quiz feature")</f>
        <v>Refactor different question types from quiz feature</v>
      </c>
      <c r="D454" s="87" t="s">
        <v>2331</v>
      </c>
      <c r="E454" s="335" t="s">
        <v>2332</v>
      </c>
      <c r="F454" s="105"/>
      <c r="I454" s="105"/>
      <c r="J454" s="105"/>
      <c r="K454" s="141" t="s">
        <v>2333</v>
      </c>
      <c r="L454" s="336"/>
      <c r="M454" s="89" t="s">
        <v>2334</v>
      </c>
    </row>
    <row r="455">
      <c r="B455" s="333" t="s">
        <v>2335</v>
      </c>
      <c r="C455" s="334" t="str">
        <f>HYPERLINK("https://docs.google.com/document/d/1TFC0G3zW-xkJYuloh_BmvWnj3dGZB23GOIYuikNRf_I/edit?ts=5cd6cb96#heading=h.kq28lsw1uwf4","Refactor delayed_mailer.rb and scheduled_task.rb")</f>
        <v>Refactor delayed_mailer.rb and scheduled_task.rb</v>
      </c>
      <c r="D455" s="87" t="s">
        <v>2336</v>
      </c>
      <c r="E455" s="335" t="s">
        <v>2337</v>
      </c>
      <c r="F455" s="105"/>
      <c r="I455" s="105"/>
      <c r="J455" s="105"/>
      <c r="K455" s="141" t="s">
        <v>2338</v>
      </c>
      <c r="L455" s="336"/>
      <c r="M455" s="89" t="s">
        <v>2339</v>
      </c>
    </row>
    <row r="456">
      <c r="B456" s="333" t="s">
        <v>2340</v>
      </c>
      <c r="C456" s="334" t="str">
        <f>HYPERLINK("https://docs.google.com/document/d/1TFC0G3zW-xkJYuloh_BmvWnj3dGZB23GOIYuikNRf_I/edit?ts=5cd6cb96#","Refactor bidding interface")</f>
        <v>Refactor bidding interface</v>
      </c>
      <c r="D456" s="87" t="s">
        <v>2341</v>
      </c>
      <c r="E456" s="335" t="s">
        <v>2342</v>
      </c>
      <c r="F456" s="63" t="s">
        <v>18</v>
      </c>
      <c r="I456" s="63"/>
      <c r="J456" s="63"/>
      <c r="K456" s="141" t="s">
        <v>2343</v>
      </c>
      <c r="L456" s="336"/>
      <c r="M456" s="89" t="s">
        <v>2344</v>
      </c>
    </row>
    <row r="457">
      <c r="A457" s="340" t="s">
        <v>2345</v>
      </c>
      <c r="B457" s="341" t="s">
        <v>2335</v>
      </c>
      <c r="C457" s="342" t="str">
        <f>HYPERLINK("https://docs.google.com/document/d/13oRmKemlwRzXG1ItcI2zTx4r3gAAfvmuobZjxiy0oVo/edit?ts=5cd6cb2f#heading=h.289nc2kw64z6","Collusion detection")</f>
        <v>Collusion detection</v>
      </c>
      <c r="D457" s="343" t="s">
        <v>2346</v>
      </c>
      <c r="E457" s="344" t="s">
        <v>2347</v>
      </c>
      <c r="F457" s="105"/>
      <c r="I457" s="63">
        <v>94.0</v>
      </c>
      <c r="J457" s="63">
        <v>94.0</v>
      </c>
      <c r="K457" s="89" t="s">
        <v>2348</v>
      </c>
      <c r="L457" s="341" t="s">
        <v>2349</v>
      </c>
      <c r="M457" s="89" t="s">
        <v>2350</v>
      </c>
    </row>
    <row r="458">
      <c r="B458" s="341" t="s">
        <v>2340</v>
      </c>
      <c r="C458" s="342" t="str">
        <f>HYPERLINK("https://docs.google.com/document/d/13oRmKemlwRzXG1ItcI2zTx4r3gAAfvmuobZjxiy0oVo/edit?ts=5cd6cb2f#heading=h.bf9bikmlr65","Team-based reviewing")</f>
        <v>Team-based reviewing</v>
      </c>
      <c r="D458" s="343" t="s">
        <v>2351</v>
      </c>
      <c r="E458" s="345" t="s">
        <v>2352</v>
      </c>
      <c r="F458" s="105"/>
      <c r="I458" s="63">
        <v>88.0</v>
      </c>
      <c r="J458" s="63">
        <v>90.0</v>
      </c>
      <c r="K458" s="89" t="s">
        <v>2353</v>
      </c>
      <c r="L458" s="341" t="s">
        <v>2354</v>
      </c>
      <c r="M458" s="89" t="s">
        <v>2355</v>
      </c>
    </row>
    <row r="459">
      <c r="B459" s="346" t="s">
        <v>2356</v>
      </c>
      <c r="C459" s="347" t="str">
        <f>HYPERLINK("https://docs.google.com/document/d/13oRmKemlwRzXG1ItcI2zTx4r3gAAfvmuobZjxiy0oVo/edit?ts=5cd6cb2f#heading=h.xj5bufukulm7","Let experts as well as students do reviews")</f>
        <v>Let experts as well as students do reviews</v>
      </c>
      <c r="D459" s="348" t="s">
        <v>23</v>
      </c>
      <c r="E459" s="349"/>
      <c r="F459" s="220"/>
      <c r="G459" s="85"/>
      <c r="H459" s="85"/>
      <c r="I459" s="220"/>
      <c r="J459" s="220"/>
      <c r="K459" s="194"/>
      <c r="L459" s="350" t="s">
        <v>23</v>
      </c>
      <c r="M459" s="194"/>
    </row>
    <row r="460">
      <c r="B460" s="341" t="s">
        <v>2357</v>
      </c>
      <c r="C460" s="342" t="str">
        <f>HYPERLINK("https://docs.google.com/document/d/13oRmKemlwRzXG1ItcI2zTx4r3gAAfvmuobZjxiy0oVo/edit?ts=5cd6cb2f#heading=h.yr4olexox3yb","Performance improvement for Course &amp; Assignment Listing")</f>
        <v>Performance improvement for Course &amp; Assignment Listing</v>
      </c>
      <c r="D460" s="343" t="s">
        <v>2358</v>
      </c>
      <c r="E460" s="344" t="s">
        <v>2359</v>
      </c>
      <c r="F460" s="63" t="s">
        <v>18</v>
      </c>
      <c r="I460" s="63">
        <v>96.0</v>
      </c>
      <c r="J460" s="63">
        <v>91.0</v>
      </c>
      <c r="K460" s="89" t="s">
        <v>2360</v>
      </c>
      <c r="L460" s="341" t="s">
        <v>2361</v>
      </c>
      <c r="M460" s="89" t="s">
        <v>2362</v>
      </c>
    </row>
    <row r="461">
      <c r="B461" s="341" t="s">
        <v>2363</v>
      </c>
      <c r="C461" s="342" t="str">
        <f>HYPERLINK("https://docs.google.com/document/d/13oRmKemlwRzXG1ItcI2zTx4r3gAAfvmuobZjxiy0oVo/edit?ts=5cd6cb2f#heading=h.tr8fcq27grc4","Visualization")</f>
        <v>Visualization</v>
      </c>
      <c r="D461" s="343" t="s">
        <v>2364</v>
      </c>
      <c r="E461" s="344" t="s">
        <v>2365</v>
      </c>
      <c r="F461" s="63" t="s">
        <v>18</v>
      </c>
      <c r="I461" s="63">
        <v>99.0</v>
      </c>
      <c r="J461" s="63">
        <v>99.0</v>
      </c>
      <c r="K461" s="89" t="s">
        <v>2366</v>
      </c>
      <c r="L461" s="341" t="s">
        <v>2367</v>
      </c>
      <c r="M461" s="89" t="s">
        <v>2368</v>
      </c>
    </row>
    <row r="462">
      <c r="B462" s="346" t="s">
        <v>2369</v>
      </c>
      <c r="C462" s="347" t="str">
        <f>HYPERLINK("https://docs.google.com/document/d/13oRmKemlwRzXG1ItcI2zTx4r3gAAfvmuobZjxiy0oVo/edit?ts=5cd6cb2f#heading=h.2smhy83wv9rv","Review configuration options")</f>
        <v>Review configuration options</v>
      </c>
      <c r="D462" s="348" t="s">
        <v>23</v>
      </c>
      <c r="E462" s="351"/>
      <c r="F462" s="220"/>
      <c r="G462" s="85"/>
      <c r="H462" s="85"/>
      <c r="I462" s="220"/>
      <c r="J462" s="220"/>
      <c r="K462" s="194"/>
      <c r="L462" s="350" t="s">
        <v>23</v>
      </c>
      <c r="M462" s="194"/>
    </row>
    <row r="463">
      <c r="B463" s="341" t="s">
        <v>2370</v>
      </c>
      <c r="C463" s="342" t="str">
        <f>HYPERLINK("https://docs.google.com/document/d/13oRmKemlwRzXG1ItcI2zTx4r3gAAfvmuobZjxiy0oVo/edit?ts=5cd6cb2f#heading=h.kvqqsdxucn7d","Badging system")</f>
        <v>Badging system</v>
      </c>
      <c r="D463" s="343" t="s">
        <v>2371</v>
      </c>
      <c r="E463" s="344" t="s">
        <v>2372</v>
      </c>
      <c r="F463" s="105"/>
      <c r="I463" s="63">
        <v>93.0</v>
      </c>
      <c r="J463" s="63">
        <v>97.0</v>
      </c>
      <c r="K463" s="89" t="s">
        <v>2373</v>
      </c>
      <c r="L463" s="341" t="s">
        <v>2374</v>
      </c>
      <c r="M463" s="197" t="s">
        <v>2375</v>
      </c>
    </row>
    <row r="464">
      <c r="B464" s="341" t="s">
        <v>2376</v>
      </c>
      <c r="C464" s="342" t="str">
        <f>HYPERLINK("https://docs.google.com/document/d/13oRmKemlwRzXG1ItcI2zTx4r3gAAfvmuobZjxiy0oVo/edit?ts=5cd6cb2f#heading=h.hp0hgqlpf9gd","Show confidence ratings for grade, based on reputations of reviewers")</f>
        <v>Show confidence ratings for grade, based on reputations of reviewers</v>
      </c>
      <c r="D464" s="343" t="s">
        <v>2377</v>
      </c>
      <c r="E464" s="344" t="s">
        <v>2378</v>
      </c>
      <c r="F464" s="63" t="s">
        <v>18</v>
      </c>
      <c r="I464" s="63">
        <v>90.0</v>
      </c>
      <c r="J464" s="63">
        <v>96.0</v>
      </c>
      <c r="K464" s="89" t="s">
        <v>2379</v>
      </c>
      <c r="L464" s="341" t="s">
        <v>2380</v>
      </c>
      <c r="M464" s="89" t="s">
        <v>2381</v>
      </c>
    </row>
    <row r="465">
      <c r="B465" s="341" t="s">
        <v>2382</v>
      </c>
      <c r="C465" s="342" t="str">
        <f>HYPERLINK("https://docs.google.com/document/d/13oRmKemlwRzXG1ItcI2zTx4r3gAAfvmuobZjxiy0oVo/edit?ts=5cd6cb2f#heading=h.q58oprggwl48","Functional tests for suggested topic function")</f>
        <v>Functional tests for suggested topic function</v>
      </c>
      <c r="D465" s="343" t="s">
        <v>2383</v>
      </c>
      <c r="E465" s="344" t="s">
        <v>2384</v>
      </c>
      <c r="F465" s="63" t="s">
        <v>18</v>
      </c>
      <c r="I465" s="63">
        <v>94.0</v>
      </c>
      <c r="J465" s="63">
        <v>95.0</v>
      </c>
      <c r="K465" s="89" t="s">
        <v>2385</v>
      </c>
      <c r="L465" s="341" t="s">
        <v>2386</v>
      </c>
      <c r="M465" s="89" t="s">
        <v>2387</v>
      </c>
    </row>
    <row r="466">
      <c r="B466" s="346" t="s">
        <v>2388</v>
      </c>
      <c r="C466" s="347" t="str">
        <f>HYPERLINK("https://docs.google.com/document/d/13oRmKemlwRzXG1ItcI2zTx4r3gAAfvmuobZjxiy0oVo/edit?ts=5cd6cb2f#heading=h.q58oprggwl48","Discussion betw. authors &amp; reviewers")</f>
        <v>Discussion betw. authors &amp; reviewers</v>
      </c>
      <c r="D466" s="348" t="s">
        <v>23</v>
      </c>
      <c r="E466" s="351"/>
      <c r="F466" s="220"/>
      <c r="G466" s="85"/>
      <c r="H466" s="85"/>
      <c r="I466" s="220"/>
      <c r="J466" s="220"/>
      <c r="K466" s="194"/>
      <c r="L466" s="350" t="s">
        <v>23</v>
      </c>
      <c r="M466" s="194"/>
    </row>
    <row r="467">
      <c r="B467" s="346" t="s">
        <v>2389</v>
      </c>
      <c r="C467" s="347" t="str">
        <f>HYPERLINK("https://docs.google.com/document/d/13oRmKemlwRzXG1ItcI2zTx4r3gAAfvmuobZjxiy0oVo/edit?ts=5cd6cb2f#heading=h.4e5a2duy5kiq","Text metrics")</f>
        <v>Text metrics</v>
      </c>
      <c r="D467" s="348" t="s">
        <v>23</v>
      </c>
      <c r="E467" s="351"/>
      <c r="F467" s="220"/>
      <c r="G467" s="85"/>
      <c r="H467" s="85"/>
      <c r="I467" s="220"/>
      <c r="J467" s="220"/>
      <c r="K467" s="194"/>
      <c r="L467" s="350" t="s">
        <v>23</v>
      </c>
      <c r="M467" s="194"/>
    </row>
    <row r="468">
      <c r="B468" s="341" t="s">
        <v>2390</v>
      </c>
      <c r="C468" s="342" t="str">
        <f>HYPERLINK("https://docs.google.com/document/d/13oRmKemlwRzXG1ItcI2zTx4r3gAAfvmuobZjxiy0oVo/edit?ts=5cd6cb2f#heading=h.su78b3gdq1a7","Refactor and test the quizzing feature")</f>
        <v>Refactor and test the quizzing feature</v>
      </c>
      <c r="D468" s="343" t="s">
        <v>2391</v>
      </c>
      <c r="E468" s="344" t="s">
        <v>2392</v>
      </c>
      <c r="F468" s="63" t="s">
        <v>1263</v>
      </c>
      <c r="I468" s="63">
        <v>96.0</v>
      </c>
      <c r="J468" s="63">
        <v>94.0</v>
      </c>
      <c r="K468" s="89" t="s">
        <v>2393</v>
      </c>
      <c r="L468" s="341" t="s">
        <v>2394</v>
      </c>
      <c r="M468" s="89" t="s">
        <v>2395</v>
      </c>
    </row>
    <row r="469">
      <c r="B469" s="341" t="s">
        <v>2396</v>
      </c>
      <c r="C469" s="342" t="str">
        <f>HYPERLINK("https://docs.google.com/document/d/13oRmKemlwRzXG1ItcI2zTx4r3gAAfvmuobZjxiy0oVo/edit?ts=5cd6cb2f#heading=h.chsa37dv2qke","Improve survey functionality")</f>
        <v>Improve survey functionality</v>
      </c>
      <c r="D469" s="343" t="s">
        <v>2397</v>
      </c>
      <c r="E469" s="344" t="s">
        <v>2398</v>
      </c>
      <c r="F469" s="105"/>
      <c r="I469" s="63">
        <v>87.0</v>
      </c>
      <c r="J469" s="63">
        <v>94.0</v>
      </c>
      <c r="K469" s="89" t="s">
        <v>2399</v>
      </c>
      <c r="L469" s="341" t="s">
        <v>2400</v>
      </c>
      <c r="M469" s="89" t="s">
        <v>2401</v>
      </c>
    </row>
    <row r="470">
      <c r="A470" s="352" t="s">
        <v>2402</v>
      </c>
      <c r="B470" s="353" t="s">
        <v>2403</v>
      </c>
      <c r="C470" s="354" t="str">
        <f>HYPERLINK("https://docs.google.com/document/d/1q0ekrZWvuSoVK7QpaLNPicWdji4HxPmixl4NiXqyYUo/edit?ts=5cd6cb59#","Refactor review_mapping_controller.rb")</f>
        <v>Refactor review_mapping_controller.rb</v>
      </c>
      <c r="D470" s="355" t="s">
        <v>2404</v>
      </c>
      <c r="E470" s="356" t="s">
        <v>2405</v>
      </c>
      <c r="F470" s="63" t="s">
        <v>1263</v>
      </c>
      <c r="I470" s="63">
        <v>94.0</v>
      </c>
      <c r="J470" s="63">
        <v>87.0</v>
      </c>
      <c r="K470" s="141" t="s">
        <v>2406</v>
      </c>
      <c r="L470" s="353" t="s">
        <v>2407</v>
      </c>
      <c r="M470" s="89" t="s">
        <v>2408</v>
      </c>
    </row>
    <row r="471">
      <c r="B471" s="353" t="s">
        <v>2409</v>
      </c>
      <c r="C471" s="354" t="str">
        <f>HYPERLINK("https://docs.google.com/document/d/1q0ekrZWvuSoVK7QpaLNPicWdji4HxPmixl4NiXqyYUo/edit?ts=5cd6cb59#","Refactor response_controller.rb")</f>
        <v>Refactor response_controller.rb</v>
      </c>
      <c r="D471" s="355" t="s">
        <v>2410</v>
      </c>
      <c r="E471" s="356" t="s">
        <v>2411</v>
      </c>
      <c r="F471" s="105"/>
      <c r="I471" s="63">
        <v>92.0</v>
      </c>
      <c r="J471" s="63">
        <v>93.0</v>
      </c>
      <c r="K471" s="141" t="s">
        <v>2412</v>
      </c>
      <c r="L471" s="353" t="s">
        <v>2413</v>
      </c>
      <c r="M471" s="89" t="s">
        <v>2414</v>
      </c>
    </row>
    <row r="472">
      <c r="B472" s="353" t="s">
        <v>2415</v>
      </c>
      <c r="C472" s="354" t="str">
        <f>HYPERLINK("https://docs.google.com/document/d/1q0ekrZWvuSoVK7QpaLNPicWdji4HxPmixl4NiXqyYUo/edit?ts=5cd6cb59#","Refactor sign_up_sheet_controller.rb and sign_up_sheet.rb")</f>
        <v>Refactor sign_up_sheet_controller.rb and sign_up_sheet.rb</v>
      </c>
      <c r="D472" s="355" t="s">
        <v>2416</v>
      </c>
      <c r="E472" s="356" t="s">
        <v>2417</v>
      </c>
      <c r="F472" s="63" t="s">
        <v>18</v>
      </c>
      <c r="I472" s="63">
        <v>96.0</v>
      </c>
      <c r="J472" s="63">
        <v>96.0</v>
      </c>
      <c r="K472" s="141" t="s">
        <v>2418</v>
      </c>
      <c r="L472" s="353" t="s">
        <v>2419</v>
      </c>
      <c r="M472" s="89" t="s">
        <v>2420</v>
      </c>
    </row>
    <row r="473">
      <c r="B473" s="346" t="s">
        <v>2421</v>
      </c>
      <c r="C473" s="347" t="str">
        <f>HYPERLINK("https://docs.google.com/document/d/1q0ekrZWvuSoVK7QpaLNPicWdji4HxPmixl4NiXqyYUo/edit?ts=5cd6cb59#","Refactor penalty_helper.rb and late_policies_controller.rb")</f>
        <v>Refactor penalty_helper.rb and late_policies_controller.rb</v>
      </c>
      <c r="D473" s="348" t="s">
        <v>23</v>
      </c>
      <c r="E473" s="351"/>
      <c r="F473" s="220"/>
      <c r="G473" s="85"/>
      <c r="H473" s="85"/>
      <c r="I473" s="220"/>
      <c r="J473" s="220"/>
      <c r="K473" s="194"/>
      <c r="L473" s="350" t="s">
        <v>23</v>
      </c>
      <c r="M473" s="194"/>
    </row>
    <row r="474">
      <c r="B474" s="353" t="s">
        <v>2422</v>
      </c>
      <c r="C474" s="354" t="str">
        <f>HYPERLINK("https://docs.google.com/document/d/1q0ekrZWvuSoVK7QpaLNPicWdji4HxPmixl4NiXqyYUo/edit?ts=5cd6cb59#","Refactor team.rb, course_team.rb, and assignment_team.rb")</f>
        <v>Refactor team.rb, course_team.rb, and assignment_team.rb</v>
      </c>
      <c r="D474" s="355" t="s">
        <v>2423</v>
      </c>
      <c r="E474" s="357" t="s">
        <v>2424</v>
      </c>
      <c r="F474" s="63" t="s">
        <v>18</v>
      </c>
      <c r="I474" s="63">
        <v>97.0</v>
      </c>
      <c r="J474" s="63">
        <v>92.0</v>
      </c>
      <c r="K474" s="156" t="s">
        <v>2425</v>
      </c>
      <c r="L474" s="353" t="s">
        <v>2426</v>
      </c>
      <c r="M474" s="89" t="s">
        <v>2427</v>
      </c>
    </row>
    <row r="475">
      <c r="B475" s="358" t="s">
        <v>2428</v>
      </c>
      <c r="C475" s="359" t="str">
        <f>HYPERLINK("https://docs.google.com/document/d/1q0ekrZWvuSoVK7QpaLNPicWdji4HxPmixl4NiXqyYUo/edit?ts=5cd6cb59#","Refactor delayed_maile r.rb and scheduled_task.rb")</f>
        <v>Refactor delayed_maile r.rb and scheduled_task.rb</v>
      </c>
      <c r="D475" s="360" t="s">
        <v>23</v>
      </c>
      <c r="E475" s="361"/>
      <c r="F475" s="214"/>
      <c r="G475" s="31"/>
      <c r="H475" s="31"/>
      <c r="I475" s="214"/>
      <c r="J475" s="214"/>
      <c r="K475" s="101"/>
      <c r="L475" s="362" t="s">
        <v>23</v>
      </c>
      <c r="M475" s="101"/>
    </row>
    <row r="476">
      <c r="B476" s="358" t="s">
        <v>2429</v>
      </c>
      <c r="C476" s="359" t="str">
        <f>HYPERLINK("https://docs.google.com/document/d/1q0ekrZWvuSoVK7QpaLNPicWdji4HxPmixl4NiXqyYUo/edit?ts=5cd6cb59#","Refactor tree_display_controller")</f>
        <v>Refactor tree_display_controller</v>
      </c>
      <c r="D476" s="360" t="s">
        <v>23</v>
      </c>
      <c r="E476" s="361"/>
      <c r="F476" s="214"/>
      <c r="G476" s="31"/>
      <c r="H476" s="31"/>
      <c r="I476" s="214"/>
      <c r="J476" s="214"/>
      <c r="K476" s="101"/>
      <c r="L476" s="362" t="s">
        <v>23</v>
      </c>
      <c r="M476" s="101"/>
    </row>
    <row r="477">
      <c r="B477" s="353" t="s">
        <v>2430</v>
      </c>
      <c r="C477" s="354" t="str">
        <f>HYPERLINK("https://docs.google.com/document/d/1q0ekrZWvuSoVK7QpaLNPicWdji4HxPmixl4NiXqyYUo/edit?ts=5cd6cb59#","Refactor &amp; write unit tests for [question_type].rb (eg. criterion.rb)")</f>
        <v>Refactor &amp; write unit tests for [question_type].rb (eg. criterion.rb)</v>
      </c>
      <c r="D477" s="355" t="s">
        <v>2431</v>
      </c>
      <c r="E477" s="356" t="s">
        <v>2432</v>
      </c>
      <c r="F477" s="63" t="s">
        <v>1263</v>
      </c>
      <c r="I477" s="63">
        <v>84.0</v>
      </c>
      <c r="J477" s="63">
        <v>95.0</v>
      </c>
      <c r="K477" s="141" t="s">
        <v>2433</v>
      </c>
      <c r="L477" s="353" t="s">
        <v>2434</v>
      </c>
      <c r="M477" s="89" t="s">
        <v>2435</v>
      </c>
    </row>
    <row r="478">
      <c r="B478" s="353" t="s">
        <v>2436</v>
      </c>
      <c r="C478" s="354" t="str">
        <f>HYPERLINK("https://docs.google.com/document/d/1q0ekrZWvuSoVK7QpaLNPicWdji4HxPmixl4NiXqyYUo/edit?ts=5cd6cb59#","Functional tests for assignment creation function")</f>
        <v>Functional tests for assignment creation function</v>
      </c>
      <c r="D478" s="355" t="s">
        <v>2437</v>
      </c>
      <c r="E478" s="356" t="s">
        <v>2438</v>
      </c>
      <c r="F478" s="63" t="s">
        <v>1263</v>
      </c>
      <c r="I478" s="63">
        <v>93.0</v>
      </c>
      <c r="J478" s="63">
        <v>93.0</v>
      </c>
      <c r="K478" s="141" t="s">
        <v>2439</v>
      </c>
      <c r="L478" s="353" t="s">
        <v>2440</v>
      </c>
      <c r="M478" s="89" t="s">
        <v>2441</v>
      </c>
    </row>
    <row r="479">
      <c r="B479" s="353" t="s">
        <v>2442</v>
      </c>
      <c r="C479" s="354" t="str">
        <f>HYPERLINK("https://docs.google.com/document/d/1q0ekrZWvuSoVK7QpaLNPicWdji4HxPmixl4NiXqyYUo/edit?ts=5cd6cb59#","Functional tests for questionnaire creation function")</f>
        <v>Functional tests for questionnaire creation function</v>
      </c>
      <c r="D479" s="355" t="s">
        <v>2443</v>
      </c>
      <c r="E479" s="356" t="s">
        <v>2444</v>
      </c>
      <c r="F479" s="63" t="s">
        <v>18</v>
      </c>
      <c r="I479" s="63">
        <v>97.0</v>
      </c>
      <c r="J479" s="63">
        <v>99.0</v>
      </c>
      <c r="K479" s="141" t="s">
        <v>2445</v>
      </c>
      <c r="L479" s="353" t="s">
        <v>2446</v>
      </c>
      <c r="M479" s="89" t="s">
        <v>2447</v>
      </c>
    </row>
    <row r="480">
      <c r="B480" s="362" t="s">
        <v>2448</v>
      </c>
      <c r="C480" s="363" t="str">
        <f>HYPERLINK("https://docs.google.com/document/d/1q0ekrZWvuSoVK7QpaLNPicWdji4HxPmixl4NiXqyYUo/edit?ts=5cd6cb59#","Functional tests for suggested topic function")</f>
        <v>Functional tests for suggested topic function</v>
      </c>
      <c r="D480" s="162" t="s">
        <v>2449</v>
      </c>
      <c r="E480" s="165"/>
      <c r="F480" s="214"/>
      <c r="G480" s="31"/>
      <c r="H480" s="31"/>
      <c r="I480" s="214"/>
      <c r="J480" s="214"/>
      <c r="K480" s="101"/>
      <c r="L480" s="362" t="s">
        <v>2450</v>
      </c>
      <c r="M480" s="101"/>
    </row>
    <row r="481">
      <c r="B481" s="353" t="s">
        <v>2451</v>
      </c>
      <c r="C481" s="354" t="str">
        <f>HYPERLINK("https://docs.google.com/document/d/1q0ekrZWvuSoVK7QpaLNPicWdji4HxPmixl4NiXqyYUo/edit?ts=5cd6cb59#","Functional tests for Calibration function")</f>
        <v>Functional tests for Calibration function</v>
      </c>
      <c r="D481" s="355" t="s">
        <v>2452</v>
      </c>
      <c r="E481" s="356" t="s">
        <v>2453</v>
      </c>
      <c r="F481" s="63" t="s">
        <v>18</v>
      </c>
      <c r="I481" s="63">
        <v>99.0</v>
      </c>
      <c r="J481" s="63">
        <v>96.0</v>
      </c>
      <c r="K481" s="141" t="s">
        <v>2454</v>
      </c>
      <c r="L481" s="353" t="s">
        <v>2455</v>
      </c>
      <c r="M481" s="89" t="s">
        <v>2456</v>
      </c>
    </row>
    <row r="482">
      <c r="B482" s="353" t="s">
        <v>2457</v>
      </c>
      <c r="C482" s="354" t="str">
        <f>HYPERLINK("https://docs.google.com/document/d/1q0ekrZWvuSoVK7QpaLNPicWdji4HxPmixl4NiXqyYUo/edit?ts=5cd6cb59#heading=h.1zvzh1wsbam1","Refactor user, course_participant and assignment_participant model")</f>
        <v>Refactor user, course_participant and assignment_participant model</v>
      </c>
      <c r="D482" s="355" t="s">
        <v>2458</v>
      </c>
      <c r="E482" s="356" t="s">
        <v>2459</v>
      </c>
      <c r="F482" s="105"/>
      <c r="I482" s="63">
        <v>91.0</v>
      </c>
      <c r="J482" s="63">
        <v>97.0</v>
      </c>
      <c r="K482" s="364" t="s">
        <v>2460</v>
      </c>
      <c r="L482" s="353" t="s">
        <v>2461</v>
      </c>
      <c r="M482" s="89" t="s">
        <v>2462</v>
      </c>
    </row>
    <row r="483">
      <c r="B483" s="353" t="s">
        <v>2463</v>
      </c>
      <c r="C483" s="354" t="str">
        <f>HYPERLINK("https://docs.google.com/document/d/1q0ekrZWvuSoVK7QpaLNPicWdji4HxPmixl4NiXqyYUo/edit?ts=5cd6cb59#","Refactor different question types from quiz feature")</f>
        <v>Refactor different question types from quiz feature</v>
      </c>
      <c r="D483" s="355" t="s">
        <v>2464</v>
      </c>
      <c r="E483" s="356" t="s">
        <v>2465</v>
      </c>
      <c r="F483" s="105"/>
      <c r="I483" s="63">
        <v>84.0</v>
      </c>
      <c r="J483" s="63">
        <v>94.0</v>
      </c>
      <c r="K483" s="141" t="s">
        <v>2466</v>
      </c>
      <c r="L483" s="353" t="s">
        <v>2467</v>
      </c>
      <c r="M483" s="89" t="s">
        <v>2468</v>
      </c>
    </row>
    <row r="484">
      <c r="B484" s="353" t="s">
        <v>2469</v>
      </c>
      <c r="C484" s="354" t="str">
        <f>HYPERLINK("https://docs.google.com/document/d/1q0ekrZWvuSoVK7QpaLNPicWdji4HxPmixl4NiXqyYUo/edit?ts=5cd6cb59#","Refactor methods related to submitted_hyperlinks")</f>
        <v>Refactor methods related to submitted_hyperlinks</v>
      </c>
      <c r="D484" s="355" t="s">
        <v>2470</v>
      </c>
      <c r="E484" s="356" t="s">
        <v>2471</v>
      </c>
      <c r="F484" s="63" t="s">
        <v>18</v>
      </c>
      <c r="I484" s="63">
        <v>97.0</v>
      </c>
      <c r="J484" s="63">
        <v>97.0</v>
      </c>
      <c r="K484" s="141" t="s">
        <v>2472</v>
      </c>
      <c r="L484" s="353" t="s">
        <v>2473</v>
      </c>
      <c r="M484" s="89" t="s">
        <v>2474</v>
      </c>
    </row>
    <row r="485">
      <c r="B485" s="353" t="s">
        <v>2475</v>
      </c>
      <c r="C485" s="354" t="str">
        <f>HYPERLINK("https://docs.google.com/document/d/1q0ekrZWvuSoVK7QpaLNPicWdji4HxPmixl4NiXqyYUo/edit?ts=5cd6cb59#heading=h.dy8zi9mb143h","Self-review feature")</f>
        <v>Self-review feature</v>
      </c>
      <c r="D485" s="355" t="s">
        <v>2476</v>
      </c>
      <c r="E485" s="356" t="s">
        <v>2477</v>
      </c>
      <c r="F485" s="63" t="s">
        <v>18</v>
      </c>
      <c r="I485" s="63">
        <v>95.0</v>
      </c>
      <c r="J485" s="63">
        <v>94.0</v>
      </c>
      <c r="K485" s="141" t="s">
        <v>2478</v>
      </c>
      <c r="L485" s="353" t="s">
        <v>2479</v>
      </c>
      <c r="M485" s="89" t="s">
        <v>2480</v>
      </c>
    </row>
    <row r="486">
      <c r="A486" s="365" t="s">
        <v>2481</v>
      </c>
      <c r="B486" s="366" t="s">
        <v>2482</v>
      </c>
      <c r="C486" s="367" t="s">
        <v>2483</v>
      </c>
      <c r="D486" s="368" t="s">
        <v>2484</v>
      </c>
      <c r="E486" s="369" t="s">
        <v>2485</v>
      </c>
      <c r="F486" s="63" t="s">
        <v>1263</v>
      </c>
      <c r="I486" s="63"/>
      <c r="J486" s="63"/>
      <c r="K486" s="89" t="s">
        <v>2486</v>
      </c>
      <c r="L486" s="366" t="s">
        <v>2487</v>
      </c>
      <c r="M486" s="92"/>
    </row>
    <row r="487">
      <c r="B487" s="366" t="s">
        <v>2488</v>
      </c>
      <c r="C487" s="367" t="s">
        <v>2489</v>
      </c>
      <c r="D487" s="368" t="s">
        <v>2490</v>
      </c>
      <c r="E487" s="369" t="s">
        <v>2491</v>
      </c>
      <c r="F487" s="63" t="s">
        <v>18</v>
      </c>
      <c r="I487" s="63"/>
      <c r="J487" s="63"/>
      <c r="K487" s="89" t="s">
        <v>2492</v>
      </c>
      <c r="L487" s="366" t="s">
        <v>2493</v>
      </c>
      <c r="M487" s="92"/>
    </row>
    <row r="488">
      <c r="B488" s="366" t="s">
        <v>2494</v>
      </c>
      <c r="C488" s="367" t="s">
        <v>2495</v>
      </c>
      <c r="D488" s="368" t="s">
        <v>2496</v>
      </c>
      <c r="E488" s="369" t="s">
        <v>2497</v>
      </c>
      <c r="F488" s="105"/>
      <c r="I488" s="105"/>
      <c r="J488" s="105"/>
      <c r="K488" s="89" t="s">
        <v>2498</v>
      </c>
      <c r="L488" s="366" t="s">
        <v>2499</v>
      </c>
      <c r="M488" s="92"/>
    </row>
    <row r="489">
      <c r="B489" s="366" t="s">
        <v>2500</v>
      </c>
      <c r="C489" s="367" t="s">
        <v>2501</v>
      </c>
      <c r="D489" s="368" t="s">
        <v>2502</v>
      </c>
      <c r="E489" s="369" t="s">
        <v>2503</v>
      </c>
      <c r="F489" s="105"/>
      <c r="I489" s="105"/>
      <c r="J489" s="105"/>
      <c r="K489" s="89" t="s">
        <v>2504</v>
      </c>
      <c r="L489" s="366" t="s">
        <v>2505</v>
      </c>
      <c r="M489" s="92"/>
    </row>
    <row r="490">
      <c r="B490" s="366" t="s">
        <v>2506</v>
      </c>
      <c r="C490" s="367" t="s">
        <v>2507</v>
      </c>
      <c r="D490" s="368" t="s">
        <v>2508</v>
      </c>
      <c r="E490" s="369" t="s">
        <v>2509</v>
      </c>
      <c r="F490" s="105"/>
      <c r="I490" s="105"/>
      <c r="J490" s="105"/>
      <c r="K490" s="89" t="s">
        <v>2510</v>
      </c>
      <c r="L490" s="366" t="s">
        <v>2511</v>
      </c>
      <c r="M490" s="92"/>
    </row>
    <row r="491">
      <c r="B491" s="366" t="s">
        <v>2512</v>
      </c>
      <c r="C491" s="367" t="s">
        <v>2513</v>
      </c>
      <c r="D491" s="368" t="s">
        <v>2514</v>
      </c>
      <c r="E491" s="369" t="s">
        <v>2515</v>
      </c>
      <c r="F491" s="105"/>
      <c r="I491" s="105"/>
      <c r="J491" s="105"/>
      <c r="K491" s="89" t="s">
        <v>2516</v>
      </c>
      <c r="L491" s="366" t="s">
        <v>2517</v>
      </c>
      <c r="M491" s="92"/>
    </row>
    <row r="492">
      <c r="B492" s="366" t="s">
        <v>2518</v>
      </c>
      <c r="C492" s="367" t="s">
        <v>2519</v>
      </c>
      <c r="D492" s="368" t="s">
        <v>2520</v>
      </c>
      <c r="E492" s="369" t="s">
        <v>2521</v>
      </c>
      <c r="F492" s="105"/>
      <c r="I492" s="105"/>
      <c r="J492" s="105"/>
      <c r="K492" s="89" t="s">
        <v>2522</v>
      </c>
      <c r="L492" s="366" t="s">
        <v>2523</v>
      </c>
      <c r="M492" s="92"/>
    </row>
    <row r="493">
      <c r="B493" s="366" t="s">
        <v>2524</v>
      </c>
      <c r="C493" s="367" t="s">
        <v>2525</v>
      </c>
      <c r="D493" s="368" t="s">
        <v>2526</v>
      </c>
      <c r="E493" s="369" t="s">
        <v>2527</v>
      </c>
      <c r="F493" s="105"/>
      <c r="I493" s="105"/>
      <c r="J493" s="105"/>
      <c r="K493" s="89" t="s">
        <v>2528</v>
      </c>
      <c r="L493" s="366" t="s">
        <v>2529</v>
      </c>
      <c r="M493" s="92"/>
    </row>
    <row r="494">
      <c r="B494" s="366" t="s">
        <v>2530</v>
      </c>
      <c r="C494" s="367" t="s">
        <v>2531</v>
      </c>
      <c r="D494" s="368" t="s">
        <v>2532</v>
      </c>
      <c r="E494" s="369" t="s">
        <v>2533</v>
      </c>
      <c r="F494" s="63" t="s">
        <v>18</v>
      </c>
      <c r="I494" s="63"/>
      <c r="J494" s="63"/>
      <c r="K494" s="89" t="s">
        <v>2534</v>
      </c>
      <c r="L494" s="366" t="s">
        <v>2535</v>
      </c>
      <c r="M494" s="92"/>
    </row>
    <row r="495">
      <c r="B495" s="366" t="s">
        <v>2536</v>
      </c>
      <c r="C495" s="367" t="s">
        <v>2537</v>
      </c>
      <c r="D495" s="368" t="s">
        <v>2538</v>
      </c>
      <c r="E495" s="369" t="s">
        <v>2539</v>
      </c>
      <c r="F495" s="105"/>
      <c r="I495" s="105"/>
      <c r="J495" s="105"/>
      <c r="K495" s="89" t="s">
        <v>2540</v>
      </c>
      <c r="L495" s="366" t="s">
        <v>2541</v>
      </c>
      <c r="M495" s="89" t="s">
        <v>2542</v>
      </c>
    </row>
    <row r="496">
      <c r="B496" s="366" t="s">
        <v>2543</v>
      </c>
      <c r="C496" s="367" t="s">
        <v>2544</v>
      </c>
      <c r="D496" s="368" t="s">
        <v>2545</v>
      </c>
      <c r="E496" s="369" t="s">
        <v>2546</v>
      </c>
      <c r="F496" s="105"/>
      <c r="I496" s="105"/>
      <c r="J496" s="105"/>
      <c r="K496" s="89" t="s">
        <v>2547</v>
      </c>
      <c r="L496" s="366" t="s">
        <v>2548</v>
      </c>
      <c r="M496" s="89" t="s">
        <v>2549</v>
      </c>
    </row>
    <row r="497">
      <c r="B497" s="366" t="s">
        <v>2550</v>
      </c>
      <c r="C497" s="367" t="s">
        <v>2551</v>
      </c>
      <c r="D497" s="368" t="s">
        <v>2552</v>
      </c>
      <c r="E497" s="369" t="s">
        <v>2553</v>
      </c>
      <c r="F497" s="105"/>
      <c r="I497" s="105"/>
      <c r="J497" s="105"/>
      <c r="K497" s="89" t="s">
        <v>2554</v>
      </c>
      <c r="L497" s="366" t="s">
        <v>2555</v>
      </c>
      <c r="M497" s="89" t="s">
        <v>2556</v>
      </c>
    </row>
    <row r="498">
      <c r="B498" s="366" t="s">
        <v>2557</v>
      </c>
      <c r="C498" s="367" t="s">
        <v>2558</v>
      </c>
      <c r="D498" s="368" t="s">
        <v>2559</v>
      </c>
      <c r="E498" s="369" t="s">
        <v>2560</v>
      </c>
      <c r="F498" s="105"/>
      <c r="I498" s="105"/>
      <c r="J498" s="105"/>
      <c r="K498" s="89" t="s">
        <v>2561</v>
      </c>
      <c r="L498" s="366" t="s">
        <v>2562</v>
      </c>
      <c r="M498" s="89" t="s">
        <v>2563</v>
      </c>
    </row>
    <row r="499">
      <c r="B499" s="366" t="s">
        <v>2564</v>
      </c>
      <c r="C499" s="367" t="s">
        <v>2565</v>
      </c>
      <c r="D499" s="368" t="s">
        <v>2566</v>
      </c>
      <c r="E499" s="369" t="s">
        <v>2567</v>
      </c>
      <c r="F499" s="105"/>
      <c r="I499" s="105"/>
      <c r="J499" s="105"/>
      <c r="K499" s="89" t="s">
        <v>2568</v>
      </c>
      <c r="L499" s="366" t="s">
        <v>2569</v>
      </c>
      <c r="M499" s="89" t="s">
        <v>2570</v>
      </c>
    </row>
    <row r="500">
      <c r="B500" s="366" t="s">
        <v>2571</v>
      </c>
      <c r="C500" s="367" t="s">
        <v>2572</v>
      </c>
      <c r="D500" s="368" t="s">
        <v>2573</v>
      </c>
      <c r="E500" s="369" t="s">
        <v>2553</v>
      </c>
      <c r="F500" s="63" t="s">
        <v>18</v>
      </c>
      <c r="I500" s="63"/>
      <c r="J500" s="63"/>
      <c r="K500" s="89" t="s">
        <v>2574</v>
      </c>
      <c r="L500" s="366" t="s">
        <v>2575</v>
      </c>
      <c r="M500" s="89" t="s">
        <v>2576</v>
      </c>
    </row>
    <row r="501">
      <c r="B501" s="366" t="s">
        <v>2577</v>
      </c>
      <c r="C501" s="367" t="s">
        <v>2578</v>
      </c>
      <c r="D501" s="368" t="s">
        <v>2579</v>
      </c>
      <c r="E501" s="369" t="s">
        <v>2580</v>
      </c>
      <c r="F501" s="105"/>
      <c r="I501" s="105"/>
      <c r="J501" s="105"/>
      <c r="K501" s="89" t="s">
        <v>2581</v>
      </c>
      <c r="L501" s="366" t="s">
        <v>2582</v>
      </c>
      <c r="M501" s="107" t="s">
        <v>2583</v>
      </c>
    </row>
    <row r="502">
      <c r="B502" s="366" t="s">
        <v>2584</v>
      </c>
      <c r="C502" s="367" t="s">
        <v>2585</v>
      </c>
      <c r="D502" s="368" t="s">
        <v>2586</v>
      </c>
      <c r="E502" s="369" t="s">
        <v>2587</v>
      </c>
      <c r="F502" s="105"/>
      <c r="I502" s="105"/>
      <c r="J502" s="105"/>
      <c r="K502" s="89" t="s">
        <v>2588</v>
      </c>
      <c r="L502" s="366" t="s">
        <v>2589</v>
      </c>
      <c r="M502" s="92"/>
    </row>
    <row r="503">
      <c r="A503" s="102" t="s">
        <v>2590</v>
      </c>
      <c r="B503" s="362" t="s">
        <v>2591</v>
      </c>
      <c r="C503" s="363" t="str">
        <f>HYPERLINK("https://docs.google.com/document/d/1uWs3zyrupTmrOFuv5IbVWCF4NRvCXqJmg8dZ0wCqgus/edit?ts=5cd6cb16#heading=h.ou9yaiu0pmt8","Feature Test for Assignment Submission")</f>
        <v>Feature Test for Assignment Submission</v>
      </c>
      <c r="D503" s="162" t="s">
        <v>2592</v>
      </c>
      <c r="E503" s="126" t="s">
        <v>2593</v>
      </c>
      <c r="F503" s="214"/>
      <c r="G503" s="31"/>
      <c r="H503" s="31"/>
      <c r="I503" s="214"/>
      <c r="J503" s="214"/>
      <c r="K503" s="370" t="s">
        <v>2594</v>
      </c>
      <c r="L503" s="362" t="s">
        <v>2595</v>
      </c>
      <c r="M503" s="101"/>
    </row>
    <row r="504">
      <c r="B504" s="362" t="s">
        <v>2596</v>
      </c>
      <c r="C504" s="363" t="str">
        <f>HYPERLINK("https://docs.google.com/document/d/1uWs3zyrupTmrOFuv5IbVWCF4NRvCXqJmg8dZ0wCqgus/edit?ts=5cd6cb16#heading=h.yv2369n32z4s","Unit Test for Assignment model")</f>
        <v>Unit Test for Assignment model</v>
      </c>
      <c r="D504" s="162" t="s">
        <v>2597</v>
      </c>
      <c r="E504" s="126" t="s">
        <v>2598</v>
      </c>
      <c r="F504" s="214"/>
      <c r="G504" s="31"/>
      <c r="H504" s="31"/>
      <c r="I504" s="214"/>
      <c r="J504" s="214"/>
      <c r="K504" s="370" t="s">
        <v>2599</v>
      </c>
      <c r="L504" s="362" t="s">
        <v>2600</v>
      </c>
      <c r="M504" s="101"/>
    </row>
    <row r="505">
      <c r="B505" s="371" t="s">
        <v>2601</v>
      </c>
      <c r="C505" s="372" t="str">
        <f>HYPERLINK("https://docs.google.com/document/d/1uWs3zyrupTmrOFuv5IbVWCF4NRvCXqJmg8dZ0wCqgus/edit?ts=5cd6cb16#heading=h.c8hzwl3zxkmq","Feature Test for Assignment Creation via instructor")</f>
        <v>Feature Test for Assignment Creation via instructor</v>
      </c>
      <c r="D505" s="373" t="s">
        <v>2602</v>
      </c>
      <c r="E505" s="374" t="s">
        <v>2603</v>
      </c>
      <c r="F505" s="105"/>
      <c r="I505" s="105"/>
      <c r="J505" s="105"/>
      <c r="K505" s="141" t="s">
        <v>2604</v>
      </c>
      <c r="L505" s="371" t="s">
        <v>2605</v>
      </c>
      <c r="M505" s="375" t="s">
        <v>2606</v>
      </c>
    </row>
    <row r="506">
      <c r="B506" s="371" t="s">
        <v>2607</v>
      </c>
      <c r="C506" s="372" t="str">
        <f>HYPERLINK("https://docs.google.com/document/d/1uWs3zyrupTmrOFuv5IbVWCF4NRvCXqJmg8dZ0wCqgus/edit?ts=5cd6cb16#heading=h.8p65lv4mlnne","Refactoring AssignmentsController and AssignmentForm")</f>
        <v>Refactoring AssignmentsController and AssignmentForm</v>
      </c>
      <c r="D506" s="373" t="s">
        <v>2608</v>
      </c>
      <c r="E506" s="374" t="s">
        <v>2609</v>
      </c>
      <c r="F506" s="105"/>
      <c r="I506" s="105"/>
      <c r="J506" s="105"/>
      <c r="K506" s="141" t="s">
        <v>2610</v>
      </c>
      <c r="L506" s="371" t="s">
        <v>2611</v>
      </c>
      <c r="M506" s="89" t="s">
        <v>2612</v>
      </c>
    </row>
    <row r="507">
      <c r="B507" s="371" t="s">
        <v>2613</v>
      </c>
      <c r="C507" s="372" t="str">
        <f>HYPERLINK("https://docs.google.com/document/d/1uWs3zyrupTmrOFuv5IbVWCF4NRvCXqJmg8dZ0wCqgus/edit?ts=5cd6cb16#heading=h.muwuvxqev0o7","Refactor TreeDisplayController")</f>
        <v>Refactor TreeDisplayController</v>
      </c>
      <c r="D507" s="373" t="s">
        <v>2614</v>
      </c>
      <c r="E507" s="374" t="s">
        <v>2615</v>
      </c>
      <c r="F507" s="105"/>
      <c r="I507" s="105"/>
      <c r="J507" s="105"/>
      <c r="K507" s="141" t="s">
        <v>2616</v>
      </c>
      <c r="L507" s="371" t="s">
        <v>2617</v>
      </c>
      <c r="M507" s="376" t="s">
        <v>2618</v>
      </c>
    </row>
    <row r="508">
      <c r="B508" s="371" t="s">
        <v>2619</v>
      </c>
      <c r="C508" s="372" t="str">
        <f>HYPERLINK("https://docs.google.com/document/d/1uWs3zyrupTmrOFuv5IbVWCF4NRvCXqJmg8dZ0wCqgus/edit?ts=5cd6cb16#heading=h.do1lhmyhck9j","Refactor ReviewMappingController")</f>
        <v>Refactor ReviewMappingController</v>
      </c>
      <c r="D508" s="373" t="s">
        <v>2620</v>
      </c>
      <c r="E508" s="374" t="s">
        <v>2621</v>
      </c>
      <c r="F508" s="105"/>
      <c r="I508" s="105"/>
      <c r="J508" s="105"/>
      <c r="K508" s="141" t="s">
        <v>2622</v>
      </c>
      <c r="L508" s="371" t="s">
        <v>2623</v>
      </c>
      <c r="M508" s="89" t="s">
        <v>2624</v>
      </c>
    </row>
    <row r="509">
      <c r="B509" s="371" t="s">
        <v>2625</v>
      </c>
      <c r="C509" s="372" t="str">
        <f>HYPERLINK("https://docs.google.com/document/d/1uWs3zyrupTmrOFuv5IbVWCF4NRvCXqJmg8dZ0wCqgus/edit?ts=5cd6cb16#heading=h.spoqw6q82wd1","Remove AnswersController")</f>
        <v>Remove AnswersController</v>
      </c>
      <c r="D509" s="373" t="s">
        <v>2626</v>
      </c>
      <c r="E509" s="374" t="s">
        <v>2627</v>
      </c>
      <c r="F509" s="105"/>
      <c r="I509" s="105"/>
      <c r="J509" s="105"/>
      <c r="K509" s="113" t="s">
        <v>2628</v>
      </c>
      <c r="L509" s="371" t="s">
        <v>2629</v>
      </c>
      <c r="M509" s="376" t="s">
        <v>2630</v>
      </c>
    </row>
    <row r="510">
      <c r="B510" s="371" t="s">
        <v>2631</v>
      </c>
      <c r="C510" s="372" t="str">
        <f>HYPERLINK("https://docs.google.com/document/d/1uWs3zyrupTmrOFuv5IbVWCF4NRvCXqJmg8dZ0wCqgus/edit?ts=5cd6cb16#heading=h.dgn0gbyhtm22","Refactoring User and UsersController")</f>
        <v>Refactoring User and UsersController</v>
      </c>
      <c r="D510" s="373" t="s">
        <v>2632</v>
      </c>
      <c r="E510" s="374" t="s">
        <v>2633</v>
      </c>
      <c r="F510" s="105"/>
      <c r="I510" s="105"/>
      <c r="J510" s="105"/>
      <c r="K510" s="141" t="s">
        <v>2634</v>
      </c>
      <c r="L510" s="371" t="s">
        <v>2635</v>
      </c>
      <c r="M510" s="89" t="s">
        <v>2636</v>
      </c>
    </row>
    <row r="511">
      <c r="B511" s="371" t="s">
        <v>2637</v>
      </c>
      <c r="C511" s="372" t="str">
        <f>HYPERLINK("https://docs.google.com/document/d/1uWs3zyrupTmrOFuv5IbVWCF4NRvCXqJmg8dZ0wCqgus/edit?ts=5cd6cb16#heading=h.ks2fw7pu2e79","Refactoring GradesController and GradesHelper")</f>
        <v>Refactoring GradesController and GradesHelper</v>
      </c>
      <c r="D511" s="373" t="s">
        <v>2638</v>
      </c>
      <c r="E511" s="374" t="s">
        <v>2639</v>
      </c>
      <c r="F511" s="63" t="s">
        <v>18</v>
      </c>
      <c r="I511" s="63"/>
      <c r="J511" s="63"/>
      <c r="K511" s="141" t="s">
        <v>2640</v>
      </c>
      <c r="L511" s="371" t="s">
        <v>2641</v>
      </c>
      <c r="M511" s="89" t="s">
        <v>2642</v>
      </c>
    </row>
    <row r="512">
      <c r="B512" s="371" t="s">
        <v>2643</v>
      </c>
      <c r="C512" s="372" t="str">
        <f>HYPERLINK("https://docs.google.com/document/d/1uWs3zyrupTmrOFuv5IbVWCF4NRvCXqJmg8dZ0wCqgus/edit?ts=5cd6cb16#heading=h.sqfnwo5jsa70","Refactoring admin_controller and course_controller")</f>
        <v>Refactoring admin_controller and course_controller</v>
      </c>
      <c r="D512" s="373" t="s">
        <v>2644</v>
      </c>
      <c r="E512" s="374" t="s">
        <v>2645</v>
      </c>
      <c r="F512" s="63" t="s">
        <v>18</v>
      </c>
      <c r="I512" s="63"/>
      <c r="J512" s="63"/>
      <c r="K512" s="141" t="s">
        <v>2646</v>
      </c>
      <c r="L512" s="371" t="s">
        <v>2647</v>
      </c>
      <c r="M512" s="89" t="s">
        <v>2648</v>
      </c>
    </row>
    <row r="513">
      <c r="B513" s="358" t="s">
        <v>2649</v>
      </c>
      <c r="C513" s="359" t="str">
        <f>HYPERLINK("https://docs.google.com/document/d/1uWs3zyrupTmrOFuv5IbVWCF4NRvCXqJmg8dZ0wCqgus/edit?ts=5cd6cb16#heading=h.c97wt0i64brj","Refactoring submitted content (hyperlinks and files)")</f>
        <v>Refactoring submitted content (hyperlinks and files)</v>
      </c>
      <c r="D513" s="360" t="s">
        <v>23</v>
      </c>
      <c r="E513" s="377" t="s">
        <v>2650</v>
      </c>
      <c r="F513" s="214"/>
      <c r="G513" s="31"/>
      <c r="H513" s="31"/>
      <c r="I513" s="214"/>
      <c r="J513" s="214"/>
      <c r="K513" s="370"/>
      <c r="L513" s="362" t="s">
        <v>23</v>
      </c>
      <c r="M513" s="101"/>
    </row>
    <row r="514">
      <c r="B514" s="371" t="s">
        <v>2651</v>
      </c>
      <c r="C514" s="372" t="str">
        <f>HYPERLINK("https://docs.google.com/document/d/1uWs3zyrupTmrOFuv5IbVWCF4NRvCXqJmg8dZ0wCqgus/edit?ts=5cd6cb16#heading=h.ssimahc1eglh","Refactoring the Questionnaires Controller")</f>
        <v>Refactoring the Questionnaires Controller</v>
      </c>
      <c r="D514" s="373" t="s">
        <v>2652</v>
      </c>
      <c r="E514" s="374" t="s">
        <v>2653</v>
      </c>
      <c r="F514" s="105"/>
      <c r="I514" s="105"/>
      <c r="J514" s="105"/>
      <c r="K514" s="141" t="s">
        <v>2654</v>
      </c>
      <c r="L514" s="371" t="s">
        <v>2655</v>
      </c>
      <c r="M514" s="89" t="s">
        <v>2656</v>
      </c>
    </row>
    <row r="515">
      <c r="B515" s="371" t="s">
        <v>2657</v>
      </c>
      <c r="C515" s="372" t="str">
        <f>HYPERLINK("https://docs.google.com/document/d/1uWs3zyrupTmrOFuv5IbVWCF4NRvCXqJmg8dZ0wCqgus/edit?ts=5cd6cb16#heading=h.6scx21lvuj46","Refactoring AssignmentParticipant model")</f>
        <v>Refactoring AssignmentParticipant model</v>
      </c>
      <c r="D515" s="373" t="s">
        <v>2658</v>
      </c>
      <c r="E515" s="374" t="s">
        <v>2659</v>
      </c>
      <c r="F515" s="105"/>
      <c r="I515" s="105"/>
      <c r="J515" s="105"/>
      <c r="K515" s="141" t="s">
        <v>2660</v>
      </c>
      <c r="L515" s="371" t="s">
        <v>2661</v>
      </c>
      <c r="M515" s="89" t="s">
        <v>2662</v>
      </c>
    </row>
    <row r="516">
      <c r="B516" s="371" t="s">
        <v>2663</v>
      </c>
      <c r="C516" s="372" t="str">
        <f>HYPERLINK("https://docs.google.com/document/d/1uWs3zyrupTmrOFuv5IbVWCF4NRvCXqJmg8dZ0wCqgus/edit?ts=5cd6cb16#heading=h.vd7573ak4v1q","Refactoring due_date.rb and deadline_helper.rb")</f>
        <v>Refactoring due_date.rb and deadline_helper.rb</v>
      </c>
      <c r="D516" s="373" t="s">
        <v>2664</v>
      </c>
      <c r="E516" s="374" t="s">
        <v>2665</v>
      </c>
      <c r="F516" s="105"/>
      <c r="I516" s="105"/>
      <c r="J516" s="105"/>
      <c r="K516" s="141" t="s">
        <v>2666</v>
      </c>
      <c r="L516" s="371" t="s">
        <v>2667</v>
      </c>
      <c r="M516" s="89" t="s">
        <v>2668</v>
      </c>
    </row>
    <row r="517">
      <c r="B517" s="371" t="s">
        <v>2669</v>
      </c>
      <c r="C517" s="372" t="str">
        <f>HYPERLINK("https://docs.google.com/document/d/1uWs3zyrupTmrOFuv5IbVWCF4NRvCXqJmg8dZ0wCqgus/edit?ts=5cd6cb16#heading=h.bboy4na026ka","Refactoring PopUpController and ParticipantsController")</f>
        <v>Refactoring PopUpController and ParticipantsController</v>
      </c>
      <c r="D517" s="373" t="s">
        <v>2670</v>
      </c>
      <c r="E517" s="374" t="s">
        <v>2671</v>
      </c>
      <c r="F517" s="105"/>
      <c r="I517" s="105"/>
      <c r="J517" s="105"/>
      <c r="K517" s="141" t="s">
        <v>2672</v>
      </c>
      <c r="L517" s="371" t="s">
        <v>2673</v>
      </c>
      <c r="M517" s="89" t="s">
        <v>2674</v>
      </c>
    </row>
    <row r="518">
      <c r="B518" s="371" t="s">
        <v>2675</v>
      </c>
      <c r="C518" s="372" t="str">
        <f>HYPERLINK("https://docs.google.com/document/d/1uWs3zyrupTmrOFuv5IbVWCF4NRvCXqJmg8dZ0wCqgus/edit?ts=5cd6cb16#heading=h.m14jnw469b7r","Refactoring JoinTeamRequestsController and InvitationController")</f>
        <v>Refactoring JoinTeamRequestsController and InvitationController</v>
      </c>
      <c r="D518" s="373" t="s">
        <v>2676</v>
      </c>
      <c r="E518" s="374" t="s">
        <v>2671</v>
      </c>
      <c r="F518" s="105"/>
      <c r="I518" s="105"/>
      <c r="J518" s="105"/>
      <c r="K518" s="141" t="s">
        <v>2677</v>
      </c>
      <c r="L518" s="371" t="s">
        <v>2678</v>
      </c>
      <c r="M518" s="89" t="s">
        <v>2679</v>
      </c>
    </row>
    <row r="519">
      <c r="B519" s="371" t="s">
        <v>2680</v>
      </c>
      <c r="C519" s="372" t="str">
        <f>HYPERLINK("https://docs.google.com/document/d/1uWs3zyrupTmrOFuv5IbVWCF4NRvCXqJmg8dZ0wCqgus/edit?ts=5cd6cb16#heading=h.z0bou1love4u","Refactoring ReviewResponseMap.rb")</f>
        <v>Refactoring ReviewResponseMap.rb</v>
      </c>
      <c r="D519" s="373" t="s">
        <v>2681</v>
      </c>
      <c r="E519" s="374" t="s">
        <v>2682</v>
      </c>
      <c r="F519" s="105"/>
      <c r="I519" s="105"/>
      <c r="J519" s="105"/>
      <c r="K519" s="141" t="s">
        <v>2683</v>
      </c>
      <c r="L519" s="371" t="s">
        <v>2684</v>
      </c>
      <c r="M519" s="89" t="s">
        <v>2685</v>
      </c>
    </row>
    <row r="520">
      <c r="B520" s="371" t="s">
        <v>2686</v>
      </c>
      <c r="C520" s="372" t="str">
        <f>HYPERLINK("https://docs.google.com/document/d/1uWs3zyrupTmrOFuv5IbVWCF4NRvCXqJmg8dZ0wCqgus/edit?ts=5cd6cb16#heading=h.e5odbxqzmq22","Refactoring SignUpSheetController.rb and SignUpSheet.rb")</f>
        <v>Refactoring SignUpSheetController.rb and SignUpSheet.rb</v>
      </c>
      <c r="D520" s="373" t="s">
        <v>2687</v>
      </c>
      <c r="E520" s="374" t="s">
        <v>2688</v>
      </c>
      <c r="F520" s="63" t="s">
        <v>18</v>
      </c>
      <c r="I520" s="63"/>
      <c r="J520" s="63"/>
      <c r="K520" s="141" t="s">
        <v>2689</v>
      </c>
      <c r="L520" s="371" t="s">
        <v>2690</v>
      </c>
      <c r="M520" s="376" t="s">
        <v>2691</v>
      </c>
    </row>
    <row r="521">
      <c r="B521" s="371" t="s">
        <v>2692</v>
      </c>
      <c r="C521" s="372" t="str">
        <f>HYPERLINK("https://docs.google.com/document/d/1uWs3zyrupTmrOFuv5IbVWCF4NRvCXqJmg8dZ0wCqgus/edit?ts=5cd6cb16#heading=h.8tb7aw8ohq4o","Refactoring SuggestionController.rb")</f>
        <v>Refactoring SuggestionController.rb</v>
      </c>
      <c r="D521" s="373" t="s">
        <v>2693</v>
      </c>
      <c r="E521" s="374" t="s">
        <v>2694</v>
      </c>
      <c r="F521" s="63" t="s">
        <v>1263</v>
      </c>
      <c r="I521" s="63"/>
      <c r="J521" s="63"/>
      <c r="K521" s="141" t="s">
        <v>2695</v>
      </c>
      <c r="L521" s="371" t="s">
        <v>2696</v>
      </c>
      <c r="M521" s="376" t="s">
        <v>2697</v>
      </c>
    </row>
    <row r="522">
      <c r="B522" s="371" t="s">
        <v>2698</v>
      </c>
      <c r="C522" s="372" t="str">
        <f>HYPERLINK("https://docs.google.com/document/d/1uWs3zyrupTmrOFuv5IbVWCF4NRvCXqJmg8dZ0wCqgus/edit?ts=5cd6cb16#heading=h.urpdq19d9uva","Refactoring Team.rb")</f>
        <v>Refactoring Team.rb</v>
      </c>
      <c r="D522" s="373" t="s">
        <v>2699</v>
      </c>
      <c r="E522" s="374" t="s">
        <v>2700</v>
      </c>
      <c r="F522" s="63" t="s">
        <v>18</v>
      </c>
      <c r="I522" s="63"/>
      <c r="J522" s="63"/>
      <c r="K522" s="141" t="s">
        <v>2701</v>
      </c>
      <c r="L522" s="371" t="s">
        <v>2702</v>
      </c>
      <c r="M522" s="89" t="s">
        <v>2703</v>
      </c>
    </row>
    <row r="523">
      <c r="B523" s="371" t="s">
        <v>2704</v>
      </c>
      <c r="C523" s="372" t="str">
        <f>HYPERLINK("https://docs.google.com/document/d/1uWs3zyrupTmrOFuv5IbVWCF4NRvCXqJmg8dZ0wCqgus/edit?ts=5cd6cb16#heading=h.lymrnbx983nw","Refactoring TeamsController.rb")</f>
        <v>Refactoring TeamsController.rb</v>
      </c>
      <c r="D523" s="373" t="s">
        <v>2705</v>
      </c>
      <c r="E523" s="374" t="s">
        <v>2706</v>
      </c>
      <c r="F523" s="63" t="s">
        <v>1263</v>
      </c>
      <c r="I523" s="63"/>
      <c r="J523" s="63"/>
      <c r="K523" s="141" t="s">
        <v>2707</v>
      </c>
      <c r="L523" s="371" t="s">
        <v>2708</v>
      </c>
      <c r="M523" s="89" t="s">
        <v>2709</v>
      </c>
    </row>
    <row r="524">
      <c r="B524" s="371" t="s">
        <v>2710</v>
      </c>
      <c r="C524" s="372" t="str">
        <f>HYPERLINK("https://docs.google.com/document/d/1uWs3zyrupTmrOFuv5IbVWCF4NRvCXqJmg8dZ0wCqgus/edit?ts=5cd6cb16#heading=h.j4mitkn5ya3h","Refactoring versions_controller.rb")</f>
        <v>Refactoring versions_controller.rb</v>
      </c>
      <c r="D524" s="373" t="s">
        <v>2711</v>
      </c>
      <c r="E524" s="374" t="s">
        <v>2712</v>
      </c>
      <c r="F524" s="63" t="s">
        <v>1263</v>
      </c>
      <c r="I524" s="63"/>
      <c r="J524" s="63"/>
      <c r="K524" s="141" t="s">
        <v>2713</v>
      </c>
      <c r="L524" s="371" t="s">
        <v>2714</v>
      </c>
      <c r="M524" s="89" t="s">
        <v>2715</v>
      </c>
    </row>
    <row r="525">
      <c r="B525" s="371" t="s">
        <v>2716</v>
      </c>
      <c r="C525" s="372" t="str">
        <f>HYPERLINK("https://docs.google.com/document/d/1uWs3zyrupTmrOFuv5IbVWCF4NRvCXqJmg8dZ0wCqgus/edit?ts=5cd6cb16#heading=h.5e0z5p54czr1","Refactoring dynamic_review_assignment_helper.rb and dynamic_quiz_assignment_helper.rb")</f>
        <v>Refactoring dynamic_review_assignment_helper.rb and dynamic_quiz_assignment_helper.rb</v>
      </c>
      <c r="D525" s="373" t="s">
        <v>2717</v>
      </c>
      <c r="E525" s="374" t="s">
        <v>2718</v>
      </c>
      <c r="F525" s="63" t="s">
        <v>18</v>
      </c>
      <c r="I525" s="63"/>
      <c r="J525" s="63"/>
      <c r="K525" s="141" t="s">
        <v>2719</v>
      </c>
      <c r="L525" s="371" t="s">
        <v>2720</v>
      </c>
      <c r="M525" s="89" t="s">
        <v>2721</v>
      </c>
    </row>
    <row r="526">
      <c r="B526" s="371" t="s">
        <v>2722</v>
      </c>
      <c r="C526" s="372" t="str">
        <f>HYPERLINK("https://docs.google.com/document/d/1uWs3zyrupTmrOFuv5IbVWCF4NRvCXqJmg8dZ0wCqgus/edit?ts=5cd6cb16#heading=h.4ciue0bt2k7i","Refactoring response_controller.rb")</f>
        <v>Refactoring response_controller.rb</v>
      </c>
      <c r="D526" s="373" t="s">
        <v>2723</v>
      </c>
      <c r="E526" s="374" t="s">
        <v>2724</v>
      </c>
      <c r="F526" s="63" t="s">
        <v>18</v>
      </c>
      <c r="I526" s="63"/>
      <c r="J526" s="63"/>
      <c r="K526" s="141" t="s">
        <v>2725</v>
      </c>
      <c r="L526" s="371" t="s">
        <v>2726</v>
      </c>
      <c r="M526" s="89" t="s">
        <v>2727</v>
      </c>
    </row>
    <row r="527">
      <c r="B527" s="371" t="s">
        <v>2728</v>
      </c>
      <c r="C527" s="372" t="str">
        <f>HYPERLINK("https://docs.google.com/document/d/1uWs3zyrupTmrOFuv5IbVWCF4NRvCXqJmg8dZ0wCqgus/edit?ts=5cd6cb16#heading=h.4n8icheflpjm","Refactoring response.rb and response_helper.rb")</f>
        <v>Refactoring response.rb and response_helper.rb</v>
      </c>
      <c r="D527" s="373" t="s">
        <v>2729</v>
      </c>
      <c r="E527" s="374" t="s">
        <v>2730</v>
      </c>
      <c r="F527" s="105"/>
      <c r="I527" s="105"/>
      <c r="J527" s="105"/>
      <c r="K527" s="141" t="s">
        <v>2731</v>
      </c>
      <c r="L527" s="371" t="s">
        <v>2732</v>
      </c>
      <c r="M527" s="89" t="s">
        <v>2733</v>
      </c>
    </row>
    <row r="528">
      <c r="A528" s="378" t="s">
        <v>2734</v>
      </c>
      <c r="B528" s="346" t="s">
        <v>2735</v>
      </c>
      <c r="C528" s="347" t="str">
        <f>HYPERLINK("https://docs.google.com/document/d/10JTdEjCiRTre3nO4j_czBzhcxkqOSzmAT8jyiJHNz4c/edit?ts=5cd6caed#heading=h.e1jxdtdx4oog","Change multipart rubrics so that everything is not stored in the Comments field")</f>
        <v>Change multipart rubrics so that everything is not stored in the Comments field</v>
      </c>
      <c r="D528" s="348" t="s">
        <v>23</v>
      </c>
      <c r="E528" s="351"/>
      <c r="F528" s="220"/>
      <c r="G528" s="85"/>
      <c r="H528" s="85"/>
      <c r="I528" s="220"/>
      <c r="J528" s="220"/>
      <c r="K528" s="194"/>
      <c r="L528" s="350" t="s">
        <v>2736</v>
      </c>
      <c r="M528" s="194"/>
    </row>
    <row r="529">
      <c r="B529" s="346" t="s">
        <v>2737</v>
      </c>
      <c r="C529" s="347" t="str">
        <f>HYPERLINK("https://docs.google.com/document/d/10JTdEjCiRTre3nO4j_czBzhcxkqOSzmAT8jyiJHNz4c/edit?ts=5cd6caed#heading=h.hav5xzt0kgyc","Text metrics")</f>
        <v>Text metrics</v>
      </c>
      <c r="D529" s="348" t="s">
        <v>23</v>
      </c>
      <c r="E529" s="351"/>
      <c r="F529" s="220"/>
      <c r="G529" s="85"/>
      <c r="H529" s="85"/>
      <c r="I529" s="220"/>
      <c r="J529" s="220"/>
      <c r="K529" s="194"/>
      <c r="L529" s="350" t="s">
        <v>2736</v>
      </c>
      <c r="M529" s="194"/>
    </row>
    <row r="530">
      <c r="B530" s="379" t="s">
        <v>2738</v>
      </c>
      <c r="C530" s="380" t="str">
        <f>HYPERLINK("https://docs.google.com/document/d/10JTdEjCiRTre3nO4j_czBzhcxkqOSzmAT8jyiJHNz4c/edit?ts=5cd6caed#heading=h.9bgqrnv94swx","Extend the Email notification feature to scheduled tasks")</f>
        <v>Extend the Email notification feature to scheduled tasks</v>
      </c>
      <c r="D530" s="381" t="s">
        <v>2739</v>
      </c>
      <c r="E530" s="382" t="s">
        <v>2740</v>
      </c>
      <c r="F530" s="63" t="s">
        <v>18</v>
      </c>
      <c r="I530" s="63"/>
      <c r="J530" s="63"/>
      <c r="K530" s="89" t="s">
        <v>2741</v>
      </c>
      <c r="L530" s="379" t="s">
        <v>2742</v>
      </c>
      <c r="M530" s="104" t="s">
        <v>2743</v>
      </c>
    </row>
    <row r="531">
      <c r="B531" s="346" t="s">
        <v>2744</v>
      </c>
      <c r="C531" s="347" t="str">
        <f>HYPERLINK("https://docs.google.com/document/d/10JTdEjCiRTre3nO4j_czBzhcxkqOSzmAT8jyiJHNz4c/edit?ts=5cd6caed#heading=h.cje8295tvhmk","Timestamps for students' submissions")</f>
        <v>Timestamps for students' submissions</v>
      </c>
      <c r="D531" s="348" t="s">
        <v>23</v>
      </c>
      <c r="E531" s="351"/>
      <c r="F531" s="220"/>
      <c r="G531" s="85"/>
      <c r="H531" s="85"/>
      <c r="I531" s="220"/>
      <c r="J531" s="220"/>
      <c r="K531" s="194"/>
      <c r="L531" s="350" t="s">
        <v>2736</v>
      </c>
      <c r="M531" s="194"/>
    </row>
    <row r="532">
      <c r="B532" s="379" t="s">
        <v>2745</v>
      </c>
      <c r="C532" s="380" t="str">
        <f>HYPERLINK("https://docs.google.com/document/d/10JTdEjCiRTre3nO4j_czBzhcxkqOSzmAT8jyiJHNz4c/edit?ts=5cd6caed#heading=h.awt4l57rf6m","Refactor automated_metareview_controller and convert it to a web service.")</f>
        <v>Refactor automated_metareview_controller and convert it to a web service.</v>
      </c>
      <c r="D532" s="381" t="s">
        <v>2746</v>
      </c>
      <c r="E532" s="382" t="s">
        <v>2747</v>
      </c>
      <c r="F532" s="105"/>
      <c r="I532" s="105"/>
      <c r="J532" s="105"/>
      <c r="K532" s="89" t="s">
        <v>2748</v>
      </c>
      <c r="L532" s="379" t="s">
        <v>2749</v>
      </c>
      <c r="M532" s="104" t="s">
        <v>2750</v>
      </c>
    </row>
    <row r="533">
      <c r="B533" s="379" t="s">
        <v>2751</v>
      </c>
      <c r="C533" s="380" t="str">
        <f>HYPERLINK("https://docs.google.com/document/d/10JTdEjCiRTre3nO4j_czBzhcxkqOSzmAT8jyiJHNz4c/edit?ts=5cd6caed#heading=h.xly1fvy2ir3p","Responsive web design for Expertiza")</f>
        <v>Responsive web design for Expertiza</v>
      </c>
      <c r="D533" s="381" t="s">
        <v>2752</v>
      </c>
      <c r="E533" s="382" t="s">
        <v>2753</v>
      </c>
      <c r="F533" s="105"/>
      <c r="I533" s="105"/>
      <c r="J533" s="105"/>
      <c r="K533" s="89" t="s">
        <v>2754</v>
      </c>
      <c r="L533" s="379" t="s">
        <v>2755</v>
      </c>
      <c r="M533" s="104" t="s">
        <v>2756</v>
      </c>
    </row>
    <row r="534">
      <c r="B534" s="379" t="s">
        <v>2757</v>
      </c>
      <c r="C534" s="380" t="str">
        <f>HYPERLINK("https://docs.google.com/document/d/10JTdEjCiRTre3nO4j_czBzhcxkqOSzmAT8jyiJHNz4c/edit?ts=5cd6caed#heading=h.qzj1bg5i51ya","Teaming information and analytics")</f>
        <v>Teaming information and analytics</v>
      </c>
      <c r="D534" s="381" t="s">
        <v>2758</v>
      </c>
      <c r="E534" s="383" t="s">
        <v>2759</v>
      </c>
      <c r="F534" s="105"/>
      <c r="I534" s="105"/>
      <c r="J534" s="105"/>
      <c r="K534" s="89" t="s">
        <v>2760</v>
      </c>
      <c r="L534" s="379" t="s">
        <v>2761</v>
      </c>
      <c r="M534" s="104" t="s">
        <v>2762</v>
      </c>
    </row>
    <row r="535">
      <c r="B535" s="379" t="s">
        <v>2763</v>
      </c>
      <c r="C535" s="380" t="str">
        <f>HYPERLINK("https://docs.google.com/document/d/10JTdEjCiRTre3nO4j_czBzhcxkqOSzmAT8jyiJHNz4c/edit?ts=5cd6caed#heading=h.j91e7bffsocz","Refactor staggered-deadline assignments")</f>
        <v>Refactor staggered-deadline assignments</v>
      </c>
      <c r="D535" s="381" t="s">
        <v>2764</v>
      </c>
      <c r="E535" s="382" t="s">
        <v>2765</v>
      </c>
      <c r="F535" s="63" t="s">
        <v>18</v>
      </c>
      <c r="I535" s="63"/>
      <c r="J535" s="63"/>
      <c r="K535" s="89" t="s">
        <v>2766</v>
      </c>
      <c r="L535" s="379" t="s">
        <v>2767</v>
      </c>
      <c r="M535" s="104" t="s">
        <v>2768</v>
      </c>
    </row>
    <row r="536">
      <c r="B536" s="358" t="s">
        <v>2769</v>
      </c>
      <c r="C536" s="359" t="str">
        <f>HYPERLINK("https://docs.google.com/document/d/10JTdEjCiRTre3nO4j_czBzhcxkqOSzmAT8jyiJHNz4c/edit?ts=5cd6caed#heading=h.kgllre9x7nfl","Generalize review versioning")</f>
        <v>Generalize review versioning</v>
      </c>
      <c r="D536" s="360" t="s">
        <v>23</v>
      </c>
      <c r="E536" s="361"/>
      <c r="F536" s="214"/>
      <c r="G536" s="31"/>
      <c r="H536" s="31"/>
      <c r="I536" s="214"/>
      <c r="J536" s="214"/>
      <c r="K536" s="101"/>
      <c r="L536" s="362" t="s">
        <v>2736</v>
      </c>
      <c r="M536" s="101"/>
    </row>
    <row r="537">
      <c r="B537" s="379" t="s">
        <v>2770</v>
      </c>
      <c r="C537" s="380" t="str">
        <f>HYPERLINK("https://docs.google.com/document/d/10JTdEjCiRTre3nO4j_czBzhcxkqOSzmAT8jyiJHNz4c/edit?ts=5cd6caed#heading=h.a8t3rgl4x1j9","Visualization")</f>
        <v>Visualization</v>
      </c>
      <c r="D537" s="381" t="s">
        <v>2771</v>
      </c>
      <c r="E537" s="382" t="s">
        <v>2772</v>
      </c>
      <c r="F537" s="63" t="s">
        <v>18</v>
      </c>
      <c r="I537" s="63"/>
      <c r="J537" s="63"/>
      <c r="K537" s="89" t="s">
        <v>2773</v>
      </c>
      <c r="L537" s="379" t="s">
        <v>2774</v>
      </c>
      <c r="M537" s="104" t="s">
        <v>2775</v>
      </c>
    </row>
    <row r="538">
      <c r="B538" s="350" t="s">
        <v>2776</v>
      </c>
      <c r="C538" s="384" t="str">
        <f>HYPERLINK("https://docs.google.com/document/d/10JTdEjCiRTre3nO4j_czBzhcxkqOSzmAT8jyiJHNz4c/edit?ts=5cd6caed#heading=h.d5uh8skc9rn8","Improving search facility in Expertiza")</f>
        <v>Improving search facility in Expertiza</v>
      </c>
      <c r="D538" s="348" t="s">
        <v>23</v>
      </c>
      <c r="E538" s="174"/>
      <c r="F538" s="220"/>
      <c r="G538" s="85"/>
      <c r="H538" s="85"/>
      <c r="I538" s="220"/>
      <c r="J538" s="220"/>
      <c r="K538" s="194"/>
      <c r="L538" s="350" t="s">
        <v>2777</v>
      </c>
      <c r="M538" s="194"/>
    </row>
    <row r="539">
      <c r="B539" s="346" t="s">
        <v>2778</v>
      </c>
      <c r="C539" s="347" t="str">
        <f>HYPERLINK("https://docs.google.com/document/d/10JTdEjCiRTre3nO4j_czBzhcxkqOSzmAT8jyiJHNz4c/edit?ts=5cd6caed#heading=h.b56ll85v8vqo","Rubric specialization")</f>
        <v>Rubric specialization</v>
      </c>
      <c r="D539" s="348" t="s">
        <v>23</v>
      </c>
      <c r="E539" s="351"/>
      <c r="F539" s="220"/>
      <c r="G539" s="85"/>
      <c r="H539" s="85"/>
      <c r="I539" s="220"/>
      <c r="J539" s="220"/>
      <c r="K539" s="194"/>
      <c r="L539" s="350" t="s">
        <v>2736</v>
      </c>
      <c r="M539" s="194"/>
    </row>
    <row r="540">
      <c r="A540" s="365" t="s">
        <v>2779</v>
      </c>
      <c r="B540" s="346" t="s">
        <v>2780</v>
      </c>
      <c r="C540" s="347" t="str">
        <f>HYPERLINK("https://docs.google.com/document/d/1J0WUBtYV_MDhpEQ-50z8gXE-OrvVkpEaZxvn_9RCAsM/edit?ts=5cd6cafd#heading=h.ujqtq7ahjzas","Testing Project 3")</f>
        <v>Testing Project 3</v>
      </c>
      <c r="D540" s="348" t="s">
        <v>23</v>
      </c>
      <c r="E540" s="351"/>
      <c r="F540" s="220"/>
      <c r="G540" s="85"/>
      <c r="H540" s="85"/>
      <c r="I540" s="220"/>
      <c r="J540" s="220"/>
      <c r="K540" s="194"/>
      <c r="L540" s="350" t="s">
        <v>2736</v>
      </c>
      <c r="M540" s="194"/>
    </row>
    <row r="541">
      <c r="B541" s="350" t="s">
        <v>2781</v>
      </c>
      <c r="C541" s="384" t="str">
        <f>HYPERLINK("https://docs.google.com/document/d/1J0WUBtYV_MDhpEQ-50z8gXE-OrvVkpEaZxvn_9RCAsM/edit?ts=5cd6cafd#heading=h.mfritx11vm76","Text summarization")</f>
        <v>Text summarization</v>
      </c>
      <c r="D541" s="170" t="s">
        <v>2782</v>
      </c>
      <c r="E541" s="174"/>
      <c r="F541" s="220"/>
      <c r="G541" s="85"/>
      <c r="H541" s="85"/>
      <c r="I541" s="220"/>
      <c r="J541" s="220"/>
      <c r="K541" s="194"/>
      <c r="L541" s="350" t="s">
        <v>2783</v>
      </c>
      <c r="M541" s="194"/>
    </row>
    <row r="542">
      <c r="B542" s="366" t="s">
        <v>2784</v>
      </c>
      <c r="C542" s="385" t="str">
        <f>HYPERLINK("https://docs.google.com/document/d/1J0WUBtYV_MDhpEQ-50z8gXE-OrvVkpEaZxvn_9RCAsM/edit?ts=5cd6cafd#heading=h.taxxbccxc6b4","Fix Instructor Login Performance Issue")</f>
        <v>Fix Instructor Login Performance Issue</v>
      </c>
      <c r="D542" s="368" t="s">
        <v>2785</v>
      </c>
      <c r="E542" s="369" t="s">
        <v>2786</v>
      </c>
      <c r="F542" s="63" t="s">
        <v>1263</v>
      </c>
      <c r="I542" s="63"/>
      <c r="J542" s="63"/>
      <c r="L542" s="366" t="s">
        <v>2787</v>
      </c>
      <c r="M542" s="89" t="s">
        <v>2788</v>
      </c>
    </row>
    <row r="543">
      <c r="B543" s="366" t="s">
        <v>2789</v>
      </c>
      <c r="C543" s="385" t="str">
        <f>HYPERLINK("https://docs.google.com/document/d/1J0WUBtYV_MDhpEQ-50z8gXE-OrvVkpEaZxvn_9RCAsM/edit?ts=5cd6cafd#heading=h.mfczah8kvd7z","Refactoring SignUpController and SignUpSheetController")</f>
        <v>Refactoring SignUpController and SignUpSheetController</v>
      </c>
      <c r="D543" s="368" t="s">
        <v>2790</v>
      </c>
      <c r="E543" s="369" t="s">
        <v>2791</v>
      </c>
      <c r="F543" s="105"/>
      <c r="I543" s="105"/>
      <c r="J543" s="105"/>
      <c r="L543" s="366" t="s">
        <v>2792</v>
      </c>
      <c r="M543" s="89" t="s">
        <v>2793</v>
      </c>
    </row>
    <row r="544">
      <c r="B544" s="366" t="s">
        <v>2794</v>
      </c>
      <c r="C544" s="385" t="str">
        <f>HYPERLINK("https://docs.google.com/document/d/1J0WUBtYV_MDhpEQ-50z8gXE-OrvVkpEaZxvn_9RCAsM/edit?ts=5cd6cafd#heading=h.iqvz6lt0ya8d","Refactoring ResponseController")</f>
        <v>Refactoring ResponseController</v>
      </c>
      <c r="D544" s="368" t="s">
        <v>2795</v>
      </c>
      <c r="E544" s="369" t="s">
        <v>2796</v>
      </c>
      <c r="F544" s="105"/>
      <c r="I544" s="105"/>
      <c r="J544" s="105"/>
      <c r="L544" s="366" t="s">
        <v>2797</v>
      </c>
      <c r="M544" s="89" t="s">
        <v>2798</v>
      </c>
    </row>
    <row r="545">
      <c r="B545" s="366" t="s">
        <v>2799</v>
      </c>
      <c r="C545" s="385" t="str">
        <f>HYPERLINK("https://docs.google.com/document/d/1J0WUBtYV_MDhpEQ-50z8gXE-OrvVkpEaZxvn_9RCAsM/edit?ts=5cd6cafd#heading=h.dz1r78vca3gh","Refactoring Review Files Controller")</f>
        <v>Refactoring Review Files Controller</v>
      </c>
      <c r="D545" s="368" t="s">
        <v>2800</v>
      </c>
      <c r="E545" s="369" t="s">
        <v>2801</v>
      </c>
      <c r="F545" s="105"/>
      <c r="I545" s="105"/>
      <c r="J545" s="105"/>
      <c r="L545" s="366" t="s">
        <v>2802</v>
      </c>
      <c r="M545" s="89" t="s">
        <v>2803</v>
      </c>
    </row>
    <row r="546">
      <c r="B546" s="366" t="s">
        <v>2804</v>
      </c>
      <c r="C546" s="385" t="str">
        <f>HYPERLINK("https://docs.google.com/document/d/1J0WUBtYV_MDhpEQ-50z8gXE-OrvVkpEaZxvn_9RCAsM/edit?ts=5cd6cafd#heading=h.n46gcznj92ol","Refactoring, testing and new features related to users")</f>
        <v>Refactoring, testing and new features related to users</v>
      </c>
      <c r="D546" s="368" t="s">
        <v>2805</v>
      </c>
      <c r="E546" s="369" t="s">
        <v>2806</v>
      </c>
      <c r="F546" s="63" t="s">
        <v>18</v>
      </c>
      <c r="I546" s="63"/>
      <c r="J546" s="63"/>
      <c r="L546" s="366" t="s">
        <v>2807</v>
      </c>
      <c r="M546" s="89" t="s">
        <v>2808</v>
      </c>
    </row>
    <row r="547">
      <c r="B547" s="366" t="s">
        <v>2809</v>
      </c>
      <c r="C547" s="385" t="str">
        <f>HYPERLINK("https://docs.google.com/document/d/1J0WUBtYV_MDhpEQ-50z8gXE-OrvVkpEaZxvn_9RCAsM/edit?ts=5cd6cafd#heading=h.2ijvg710o7zb","Refactoring AssignmentParticipant model")</f>
        <v>Refactoring AssignmentParticipant model</v>
      </c>
      <c r="D547" s="368" t="s">
        <v>2810</v>
      </c>
      <c r="E547" s="369" t="s">
        <v>2811</v>
      </c>
      <c r="F547" s="105"/>
      <c r="I547" s="105"/>
      <c r="J547" s="105"/>
      <c r="L547" s="366" t="s">
        <v>2812</v>
      </c>
      <c r="M547" s="89" t="s">
        <v>2813</v>
      </c>
    </row>
    <row r="548">
      <c r="B548" s="366" t="s">
        <v>2814</v>
      </c>
      <c r="C548" s="385" t="str">
        <f>HYPERLINK("https://docs.google.com/document/d/1J0WUBtYV_MDhpEQ-50z8gXE-OrvVkpEaZxvn_9RCAsM/edit?ts=5cd6cafd#heading=h.mvxm67h0ads7","Refactoring the Bookmark model")</f>
        <v>Refactoring the Bookmark model</v>
      </c>
      <c r="D548" s="368" t="s">
        <v>2815</v>
      </c>
      <c r="E548" s="369" t="s">
        <v>2816</v>
      </c>
      <c r="F548" s="105"/>
      <c r="I548" s="105"/>
      <c r="J548" s="105"/>
      <c r="L548" s="366" t="s">
        <v>2817</v>
      </c>
      <c r="M548" s="89" t="s">
        <v>2818</v>
      </c>
    </row>
    <row r="549">
      <c r="B549" s="366" t="s">
        <v>2819</v>
      </c>
      <c r="C549" s="385" t="str">
        <f>HYPERLINK("https://docs.google.com/document/d/1J0WUBtYV_MDhpEQ-50z8gXE-OrvVkpEaZxvn_9RCAsM/edit?ts=5cd6cafd#heading=h.loubxdjnenfe","Refactoring and improving the Leaderboard model")</f>
        <v>Refactoring and improving the Leaderboard model</v>
      </c>
      <c r="D549" s="368" t="s">
        <v>2820</v>
      </c>
      <c r="E549" s="369" t="s">
        <v>2821</v>
      </c>
      <c r="F549" s="105"/>
      <c r="I549" s="105"/>
      <c r="J549" s="105"/>
      <c r="L549" s="366" t="s">
        <v>2822</v>
      </c>
      <c r="M549" s="89" t="s">
        <v>2823</v>
      </c>
    </row>
    <row r="550">
      <c r="B550" s="366" t="s">
        <v>2824</v>
      </c>
      <c r="C550" s="385" t="str">
        <f>HYPERLINK("https://docs.google.com/document/d/1J0WUBtYV_MDhpEQ-50z8gXE-OrvVkpEaZxvn_9RCAsM/edit?ts=5cd6cafd#heading=h.ssimahc1eglh","Refactoring the Questionnaires Controller")</f>
        <v>Refactoring the Questionnaires Controller</v>
      </c>
      <c r="D550" s="368" t="s">
        <v>2825</v>
      </c>
      <c r="E550" s="369" t="s">
        <v>2826</v>
      </c>
      <c r="F550" s="105"/>
      <c r="I550" s="105"/>
      <c r="J550" s="105"/>
      <c r="L550" s="366" t="s">
        <v>2827</v>
      </c>
      <c r="M550" s="89" t="s">
        <v>2828</v>
      </c>
    </row>
    <row r="551">
      <c r="B551" s="366" t="s">
        <v>2829</v>
      </c>
      <c r="C551" s="385" t="str">
        <f>HYPERLINK("https://docs.google.com/document/d/1J0WUBtYV_MDhpEQ-50z8gXE-OrvVkpEaZxvn_9RCAsM/edit?ts=5cd6cafd#heading=h.n40z5two90c6","Refactoring assignment.rb")</f>
        <v>Refactoring assignment.rb</v>
      </c>
      <c r="D551" s="368" t="s">
        <v>2830</v>
      </c>
      <c r="E551" s="369" t="s">
        <v>2831</v>
      </c>
      <c r="F551" s="105"/>
      <c r="I551" s="105"/>
      <c r="J551" s="105"/>
      <c r="L551" s="366" t="s">
        <v>2832</v>
      </c>
      <c r="M551" s="89" t="s">
        <v>2833</v>
      </c>
    </row>
    <row r="552">
      <c r="A552" s="386" t="s">
        <v>2834</v>
      </c>
      <c r="B552" s="387" t="s">
        <v>2835</v>
      </c>
      <c r="C552" s="388" t="str">
        <f>HYPERLINK("https://docs.google.com/document/d/1fuiMTQSg9pN6UwS-COZjeXzm3bUNma73PCJMk5XPEQQ/edit?ts=5cd6cac1#heading=h.7a5h116hjm42","Merge some OSS projects")</f>
        <v>Merge some OSS projects</v>
      </c>
      <c r="D552" s="389" t="s">
        <v>2836</v>
      </c>
      <c r="E552" s="390" t="s">
        <v>2837</v>
      </c>
      <c r="F552" s="63" t="s">
        <v>18</v>
      </c>
      <c r="I552" s="63"/>
      <c r="J552" s="63"/>
      <c r="K552" s="89" t="s">
        <v>2838</v>
      </c>
      <c r="L552" s="387" t="s">
        <v>2839</v>
      </c>
      <c r="M552" s="39" t="s">
        <v>2840</v>
      </c>
    </row>
    <row r="553">
      <c r="B553" s="387" t="s">
        <v>2841</v>
      </c>
      <c r="C553" s="388" t="str">
        <f>HYPERLINK("https://docs.google.com/document/d/1fuiMTQSg9pN6UwS-COZjeXzm3bUNma73PCJMk5XPEQQ/edit?ts=5cd6cac1#heading=h.56d9ry6zh0d3","Rewrite Project E1401")</f>
        <v>Rewrite Project E1401</v>
      </c>
      <c r="D553" s="389" t="s">
        <v>2842</v>
      </c>
      <c r="E553" s="390" t="s">
        <v>2843</v>
      </c>
      <c r="F553" s="63" t="s">
        <v>18</v>
      </c>
      <c r="I553" s="63"/>
      <c r="J553" s="63"/>
      <c r="K553" s="89" t="s">
        <v>2844</v>
      </c>
      <c r="L553" s="387" t="s">
        <v>2845</v>
      </c>
      <c r="M553" s="39" t="s">
        <v>2846</v>
      </c>
    </row>
    <row r="554">
      <c r="B554" s="346" t="s">
        <v>2847</v>
      </c>
      <c r="C554" s="347" t="str">
        <f>HYPERLINK("https://docs.google.com/document/d/1fuiMTQSg9pN6UwS-COZjeXzm3bUNma73PCJMk5XPEQQ/edit?ts=5cd6cac1#heading=h.cremeuc8c7n5","Test the instructor interface using capybara and rspec")</f>
        <v>Test the instructor interface using capybara and rspec</v>
      </c>
      <c r="D554" s="348" t="s">
        <v>23</v>
      </c>
      <c r="E554" s="349" t="s">
        <v>2848</v>
      </c>
      <c r="F554" s="220"/>
      <c r="G554" s="85"/>
      <c r="H554" s="85"/>
      <c r="I554" s="220"/>
      <c r="J554" s="220"/>
      <c r="K554" s="194"/>
      <c r="L554" s="350" t="s">
        <v>2736</v>
      </c>
      <c r="M554" s="194"/>
    </row>
    <row r="555">
      <c r="B555" s="387" t="s">
        <v>2849</v>
      </c>
      <c r="C555" s="388" t="str">
        <f>HYPERLINK("https://docs.google.com/document/d/1fuiMTQSg9pN6UwS-COZjeXzm3bUNma73PCJMk5XPEQQ/edit?ts=5cd6cac1#heading=h.jlo4fqttqxdd","Test the student interface using capybara and rspec")</f>
        <v>Test the student interface using capybara and rspec</v>
      </c>
      <c r="D555" s="389" t="s">
        <v>2850</v>
      </c>
      <c r="E555" s="390" t="s">
        <v>2851</v>
      </c>
      <c r="F555" s="105"/>
      <c r="I555" s="105"/>
      <c r="J555" s="105"/>
      <c r="K555" s="89" t="s">
        <v>2852</v>
      </c>
      <c r="L555" s="387" t="s">
        <v>2853</v>
      </c>
      <c r="M555" s="39" t="s">
        <v>2854</v>
      </c>
    </row>
    <row r="556">
      <c r="B556" s="387" t="s">
        <v>2855</v>
      </c>
      <c r="C556" s="388" t="str">
        <f>HYPERLINK("https://docs.google.com/document/d/1fuiMTQSg9pN6UwS-COZjeXzm3bUNma73PCJMk5XPEQQ/edit?ts=5cd6cac1#heading=h.sybradba2m5h","Fix a set of related bugs [needs further specification]")</f>
        <v>Fix a set of related bugs [needs further specification]</v>
      </c>
      <c r="D556" s="389" t="s">
        <v>2856</v>
      </c>
      <c r="E556" s="390" t="s">
        <v>2857</v>
      </c>
      <c r="F556" s="105"/>
      <c r="I556" s="105"/>
      <c r="J556" s="105"/>
      <c r="K556" s="89" t="s">
        <v>2858</v>
      </c>
      <c r="L556" s="387" t="s">
        <v>2859</v>
      </c>
      <c r="M556" s="39" t="s">
        <v>2860</v>
      </c>
    </row>
    <row r="557">
      <c r="B557" s="387" t="s">
        <v>2861</v>
      </c>
      <c r="C557" s="388" t="str">
        <f>HYPERLINK("https://docs.google.com/document/d/1fuiMTQSg9pN6UwS-COZjeXzm3bUNma73PCJMk5XPEQQ/edit?ts=5cd6cac1#heading=h.4y28ld9huj26","Parsing of logging data")</f>
        <v>Parsing of logging data</v>
      </c>
      <c r="D557" s="389" t="s">
        <v>2862</v>
      </c>
      <c r="E557" s="390" t="s">
        <v>2863</v>
      </c>
      <c r="F557" s="63" t="s">
        <v>18</v>
      </c>
      <c r="I557" s="63"/>
      <c r="J557" s="63"/>
      <c r="K557" s="89" t="s">
        <v>2864</v>
      </c>
      <c r="L557" s="387" t="s">
        <v>2865</v>
      </c>
      <c r="M557" s="39" t="s">
        <v>2866</v>
      </c>
    </row>
    <row r="558">
      <c r="B558" s="387" t="s">
        <v>2867</v>
      </c>
      <c r="C558" s="388" t="str">
        <f>HYPERLINK("https://docs.google.com/document/d/1fuiMTQSg9pN6UwS-COZjeXzm3bUNma73PCJMk5XPEQQ/edit?ts=5cd6cac1#heading=h.7npqqj7k6dxf","Time zones")</f>
        <v>Time zones</v>
      </c>
      <c r="D558" s="389" t="s">
        <v>2868</v>
      </c>
      <c r="E558" s="390" t="s">
        <v>2869</v>
      </c>
      <c r="F558" s="105"/>
      <c r="I558" s="105"/>
      <c r="J558" s="105"/>
      <c r="K558" s="89" t="s">
        <v>2870</v>
      </c>
      <c r="L558" s="387" t="s">
        <v>2871</v>
      </c>
      <c r="M558" s="39" t="s">
        <v>2872</v>
      </c>
    </row>
    <row r="559">
      <c r="B559" s="387" t="s">
        <v>2873</v>
      </c>
      <c r="C559" s="388" t="str">
        <f>HYPERLINK("https://docs.google.com/document/d/1fuiMTQSg9pN6UwS-COZjeXzm3bUNma73PCJMk5XPEQQ/edit?ts=5cd6cac1#heading=h.mlcdgcz0jd7e","Improve review assignment")</f>
        <v>Improve review assignment</v>
      </c>
      <c r="D559" s="389" t="s">
        <v>2874</v>
      </c>
      <c r="E559" s="390" t="s">
        <v>2875</v>
      </c>
      <c r="F559" s="105"/>
      <c r="I559" s="105"/>
      <c r="J559" s="105"/>
      <c r="K559" s="89" t="s">
        <v>2876</v>
      </c>
      <c r="L559" s="387" t="s">
        <v>2877</v>
      </c>
      <c r="M559" s="39" t="s">
        <v>2878</v>
      </c>
    </row>
    <row r="560">
      <c r="B560" s="387" t="s">
        <v>2879</v>
      </c>
      <c r="C560" s="388" t="str">
        <f>HYPERLINK("https://docs.google.com/document/d/1fuiMTQSg9pN6UwS-COZjeXzm3bUNma73PCJMk5XPEQQ/edit?ts=5cd6cac1#heading=h.de0j7el58e0r","Intelligent assignment of teams")</f>
        <v>Intelligent assignment of teams</v>
      </c>
      <c r="D560" s="389" t="s">
        <v>2880</v>
      </c>
      <c r="E560" s="390" t="s">
        <v>2881</v>
      </c>
      <c r="F560" s="63" t="s">
        <v>18</v>
      </c>
      <c r="I560" s="63"/>
      <c r="J560" s="63"/>
      <c r="K560" s="89" t="s">
        <v>2882</v>
      </c>
      <c r="L560" s="387" t="s">
        <v>2883</v>
      </c>
      <c r="M560" s="39" t="s">
        <v>2884</v>
      </c>
    </row>
    <row r="561">
      <c r="B561" s="387" t="s">
        <v>2885</v>
      </c>
      <c r="C561" s="388" t="str">
        <f>HYPERLINK("https://docs.google.com/document/d/1fuiMTQSg9pN6UwS-COZjeXzm3bUNma73PCJMk5XPEQQ/edit?ts=5cd6cac1#heading=h.l20edytrkguv","SSL authentication")</f>
        <v>SSL authentication</v>
      </c>
      <c r="D561" s="389" t="s">
        <v>2886</v>
      </c>
      <c r="E561" s="390" t="s">
        <v>2887</v>
      </c>
      <c r="F561" s="105"/>
      <c r="I561" s="105"/>
      <c r="J561" s="105"/>
      <c r="K561" s="89" t="s">
        <v>2888</v>
      </c>
      <c r="L561" s="387" t="s">
        <v>2889</v>
      </c>
      <c r="M561" s="39" t="s">
        <v>2890</v>
      </c>
    </row>
    <row r="562">
      <c r="B562" s="346" t="s">
        <v>2891</v>
      </c>
      <c r="C562" s="347" t="str">
        <f>HYPERLINK("https://docs.google.com/document/d/1fuiMTQSg9pN6UwS-COZjeXzm3bUNma73PCJMk5XPEQQ/edit?ts=5cd6cac1#heading=h.kgllre9x7nfl","Generalize review versioning")</f>
        <v>Generalize review versioning</v>
      </c>
      <c r="D562" s="348" t="s">
        <v>23</v>
      </c>
      <c r="E562" s="351"/>
      <c r="F562" s="220"/>
      <c r="G562" s="85"/>
      <c r="H562" s="85"/>
      <c r="I562" s="220"/>
      <c r="J562" s="220"/>
      <c r="K562" s="194"/>
      <c r="L562" s="350" t="s">
        <v>2736</v>
      </c>
      <c r="M562" s="194"/>
    </row>
    <row r="563">
      <c r="B563" s="387" t="s">
        <v>2892</v>
      </c>
      <c r="C563" s="388" t="str">
        <f>HYPERLINK("https://docs.google.com/document/d/1fuiMTQSg9pN6UwS-COZjeXzm3bUNma73PCJMk5XPEQQ/edit?ts=5cd6cac1#heading=h.y33krkaz19mb","Connect changes to score model with changes to score views")</f>
        <v>Connect changes to score model with changes to score views</v>
      </c>
      <c r="D563" s="389" t="s">
        <v>2893</v>
      </c>
      <c r="E563" s="390" t="s">
        <v>2887</v>
      </c>
      <c r="F563" s="63" t="s">
        <v>18</v>
      </c>
      <c r="I563" s="63"/>
      <c r="J563" s="63"/>
      <c r="K563" s="89" t="s">
        <v>2894</v>
      </c>
      <c r="L563" s="387" t="s">
        <v>2895</v>
      </c>
      <c r="M563" s="39" t="s">
        <v>2896</v>
      </c>
    </row>
    <row r="564">
      <c r="B564" s="387" t="s">
        <v>2897</v>
      </c>
      <c r="C564" s="388" t="str">
        <f>HYPERLINK("https://docs.google.com/document/d/1fuiMTQSg9pN6UwS-COZjeXzm3bUNma73PCJMk5XPEQQ/edit?ts=5cd6cac1#heading=h.d5uh8skc9rn8","Information display and student interaction")</f>
        <v>Information display and student interaction</v>
      </c>
      <c r="D564" s="389" t="s">
        <v>2898</v>
      </c>
      <c r="E564" s="390" t="s">
        <v>2899</v>
      </c>
      <c r="F564" s="105"/>
      <c r="I564" s="105"/>
      <c r="J564" s="105"/>
      <c r="K564" s="89" t="s">
        <v>2900</v>
      </c>
      <c r="L564" s="387" t="s">
        <v>2901</v>
      </c>
      <c r="M564" s="39" t="s">
        <v>2902</v>
      </c>
    </row>
    <row r="565">
      <c r="B565" s="387" t="s">
        <v>2903</v>
      </c>
      <c r="C565" s="388" t="str">
        <f>HYPERLINK("https://docs.google.com/document/d/1fuiMTQSg9pN6UwS-COZjeXzm3bUNma73PCJMk5XPEQQ/edit?ts=5cd6cac1#heading=h.b56ll85v8vqo","Rubric specialization")</f>
        <v>Rubric specialization</v>
      </c>
      <c r="D565" s="389" t="s">
        <v>2904</v>
      </c>
      <c r="E565" s="390" t="s">
        <v>2905</v>
      </c>
      <c r="F565" s="105"/>
      <c r="I565" s="105"/>
      <c r="J565" s="105"/>
      <c r="K565" s="89" t="s">
        <v>2906</v>
      </c>
      <c r="L565" s="387" t="s">
        <v>2907</v>
      </c>
      <c r="M565" s="39" t="s">
        <v>2908</v>
      </c>
    </row>
    <row r="566">
      <c r="A566" s="378" t="s">
        <v>2909</v>
      </c>
      <c r="B566" s="379" t="s">
        <v>2910</v>
      </c>
      <c r="C566" s="380" t="str">
        <f>HYPERLINK("https://docs.google.com/document/d/1FZCL9KWSdVNsX9BowuZ3gxbCOJoiWX-GVLctSZei3No/edit?ts=5cd6cad3#heading=h.p92p30rar40t","Refactoring LeaderBoard model")</f>
        <v>Refactoring LeaderBoard model</v>
      </c>
      <c r="D566" s="381" t="s">
        <v>2911</v>
      </c>
      <c r="E566" s="382" t="s">
        <v>2912</v>
      </c>
      <c r="F566" s="63" t="s">
        <v>18</v>
      </c>
      <c r="I566" s="63"/>
      <c r="J566" s="63"/>
      <c r="K566" s="391" t="s">
        <v>2913</v>
      </c>
      <c r="L566" s="379" t="s">
        <v>2914</v>
      </c>
      <c r="M566" s="89" t="s">
        <v>2915</v>
      </c>
    </row>
    <row r="567">
      <c r="B567" s="379" t="s">
        <v>2916</v>
      </c>
      <c r="C567" s="380" t="str">
        <f>HYPERLINK("https://docs.google.com/document/d/1FZCL9KWSdVNsX9BowuZ3gxbCOJoiWX-GVLctSZei3No/edit?ts=5cd6cad3#heading=h.47kuqwvc66a3","Refactoring GradesController")</f>
        <v>Refactoring GradesController</v>
      </c>
      <c r="D567" s="381" t="s">
        <v>2917</v>
      </c>
      <c r="E567" s="382" t="s">
        <v>2918</v>
      </c>
      <c r="F567" s="105"/>
      <c r="I567" s="105"/>
      <c r="J567" s="105"/>
      <c r="K567" s="391" t="s">
        <v>2919</v>
      </c>
      <c r="L567" s="379" t="s">
        <v>2920</v>
      </c>
      <c r="M567" s="89" t="s">
        <v>2921</v>
      </c>
    </row>
    <row r="568">
      <c r="B568" s="379" t="s">
        <v>2922</v>
      </c>
      <c r="C568" s="380" t="str">
        <f>HYPERLINK("https://docs.google.com/document/d/1FZCL9KWSdVNsX9BowuZ3gxbCOJoiWX-GVLctSZei3No/edit?ts=5cd6cad3#heading=h.2y12n9sli9rd","Refactoring UsersController")</f>
        <v>Refactoring UsersController</v>
      </c>
      <c r="D568" s="381" t="s">
        <v>2923</v>
      </c>
      <c r="E568" s="382" t="s">
        <v>2924</v>
      </c>
      <c r="F568" s="63" t="s">
        <v>18</v>
      </c>
      <c r="I568" s="63"/>
      <c r="J568" s="63"/>
      <c r="K568" s="118" t="s">
        <v>2925</v>
      </c>
      <c r="L568" s="379" t="s">
        <v>2926</v>
      </c>
      <c r="M568" s="89" t="s">
        <v>2927</v>
      </c>
    </row>
    <row r="569">
      <c r="B569" s="379" t="s">
        <v>2928</v>
      </c>
      <c r="C569" s="380" t="str">
        <f>HYPERLINK("https://docs.google.com/document/d/1FZCL9KWSdVNsX9BowuZ3gxbCOJoiWX-GVLctSZei3No/edit?ts=5cd6cad3#heading=h.gz67qjd9b67o","Refactoring User model")</f>
        <v>Refactoring User model</v>
      </c>
      <c r="D569" s="381" t="s">
        <v>2929</v>
      </c>
      <c r="E569" s="382" t="s">
        <v>2930</v>
      </c>
      <c r="F569" s="63" t="s">
        <v>18</v>
      </c>
      <c r="I569" s="63"/>
      <c r="J569" s="63"/>
      <c r="K569" s="118" t="s">
        <v>2931</v>
      </c>
      <c r="L569" s="379" t="s">
        <v>2932</v>
      </c>
      <c r="M569" s="89" t="s">
        <v>2933</v>
      </c>
    </row>
    <row r="570">
      <c r="B570" s="379" t="s">
        <v>2934</v>
      </c>
      <c r="C570" s="380" t="str">
        <f>HYPERLINK("https://docs.google.com/document/d/1FZCL9KWSdVNsX9BowuZ3gxbCOJoiWX-GVLctSZei3No/edit?ts=5cd6cad3#heading=h.h1tvyhgn55lb","Refactoring TreeDisplayController")</f>
        <v>Refactoring TreeDisplayController</v>
      </c>
      <c r="D570" s="381" t="s">
        <v>2935</v>
      </c>
      <c r="E570" s="382" t="s">
        <v>2936</v>
      </c>
      <c r="F570" s="63" t="s">
        <v>18</v>
      </c>
      <c r="I570" s="63"/>
      <c r="J570" s="63"/>
      <c r="K570" s="118" t="s">
        <v>2937</v>
      </c>
      <c r="L570" s="379" t="s">
        <v>2938</v>
      </c>
      <c r="M570" s="89" t="s">
        <v>2939</v>
      </c>
    </row>
    <row r="571">
      <c r="B571" s="379" t="s">
        <v>2940</v>
      </c>
      <c r="C571" s="380" t="str">
        <f>HYPERLINK("https://docs.google.com/document/d/1FZCL9KWSdVNsX9BowuZ3gxbCOJoiWX-GVLctSZei3No/edit?ts=5cd6cad3#heading=h.i1i71h0nq5a","Refactoring SurveyResponseController")</f>
        <v>Refactoring SurveyResponseController</v>
      </c>
      <c r="D571" s="381" t="s">
        <v>2941</v>
      </c>
      <c r="E571" s="382" t="s">
        <v>2936</v>
      </c>
      <c r="F571" s="63" t="s">
        <v>18</v>
      </c>
      <c r="I571" s="63"/>
      <c r="J571" s="63"/>
      <c r="K571" s="118" t="s">
        <v>2942</v>
      </c>
      <c r="L571" s="379" t="s">
        <v>2943</v>
      </c>
      <c r="M571" s="89" t="s">
        <v>2944</v>
      </c>
    </row>
    <row r="572">
      <c r="B572" s="379" t="s">
        <v>2945</v>
      </c>
      <c r="C572" s="380" t="str">
        <f>HYPERLINK("https://docs.google.com/document/d/1FZCL9KWSdVNsX9BowuZ3gxbCOJoiWX-GVLctSZei3No/edit?ts=5cd6cad3#heading=h.o4l5j278929","Refactoring StudentTeamController")</f>
        <v>Refactoring StudentTeamController</v>
      </c>
      <c r="D572" s="381" t="s">
        <v>2946</v>
      </c>
      <c r="E572" s="382" t="s">
        <v>2947</v>
      </c>
      <c r="F572" s="63" t="s">
        <v>18</v>
      </c>
      <c r="I572" s="63"/>
      <c r="J572" s="63"/>
      <c r="K572" s="118" t="s">
        <v>2948</v>
      </c>
      <c r="L572" s="379" t="s">
        <v>2949</v>
      </c>
      <c r="M572" s="89" t="s">
        <v>2950</v>
      </c>
    </row>
    <row r="573">
      <c r="B573" s="379" t="s">
        <v>2951</v>
      </c>
      <c r="C573" s="380" t="str">
        <f>HYPERLINK("https://docs.google.com/document/d/1FZCL9KWSdVNsX9BowuZ3gxbCOJoiWX-GVLctSZei3No/edit?ts=5cd6cad3#heading=h.ieif4v4ptbab","Refactoring StudentQuiz controller")</f>
        <v>Refactoring StudentQuiz controller</v>
      </c>
      <c r="D573" s="381" t="s">
        <v>2952</v>
      </c>
      <c r="E573" s="382" t="s">
        <v>2953</v>
      </c>
      <c r="F573" s="63" t="s">
        <v>18</v>
      </c>
      <c r="I573" s="63"/>
      <c r="J573" s="63"/>
      <c r="K573" s="118" t="s">
        <v>2954</v>
      </c>
      <c r="L573" s="379" t="s">
        <v>2955</v>
      </c>
      <c r="M573" s="89" t="s">
        <v>2956</v>
      </c>
    </row>
    <row r="574">
      <c r="B574" s="379" t="s">
        <v>2957</v>
      </c>
      <c r="C574" s="380" t="str">
        <f>HYPERLINK("https://docs.google.com/document/d/1FZCL9KWSdVNsX9BowuZ3gxbCOJoiWX-GVLctSZei3No/edit?ts=5cd6cad3#heading=h.mfczah8kvd7z","Refactoring SignupController")</f>
        <v>Refactoring SignupController</v>
      </c>
      <c r="D574" s="381" t="s">
        <v>2958</v>
      </c>
      <c r="E574" s="382" t="s">
        <v>2959</v>
      </c>
      <c r="F574" s="105"/>
      <c r="I574" s="105"/>
      <c r="J574" s="105"/>
      <c r="K574" s="118" t="s">
        <v>2960</v>
      </c>
      <c r="L574" s="379" t="s">
        <v>2961</v>
      </c>
      <c r="M574" s="89" t="s">
        <v>2962</v>
      </c>
    </row>
    <row r="575">
      <c r="B575" s="379" t="s">
        <v>2963</v>
      </c>
      <c r="C575" s="380" t="str">
        <f>HYPERLINK("https://docs.google.com/document/d/1FZCL9KWSdVNsX9BowuZ3gxbCOJoiWX-GVLctSZei3No/edit?ts=5cd6cad3#heading=h.9s55a8haqwr9","Refactoring ResponseController")</f>
        <v>Refactoring ResponseController</v>
      </c>
      <c r="D575" s="381" t="s">
        <v>2964</v>
      </c>
      <c r="E575" s="382" t="s">
        <v>2965</v>
      </c>
      <c r="F575" s="105"/>
      <c r="I575" s="105"/>
      <c r="J575" s="105"/>
      <c r="K575" s="118" t="s">
        <v>2966</v>
      </c>
      <c r="L575" s="379" t="s">
        <v>2967</v>
      </c>
      <c r="M575" s="89" t="s">
        <v>2968</v>
      </c>
    </row>
    <row r="576">
      <c r="B576" s="379" t="s">
        <v>2969</v>
      </c>
      <c r="C576" s="380" t="str">
        <f>HYPERLINK("https://docs.google.com/document/d/1FZCL9KWSdVNsX9BowuZ3gxbCOJoiWX-GVLctSZei3No/edit?ts=5cd6cad3#heading=h.lg6rcwf340t1","Refactoring ReportsController")</f>
        <v>Refactoring ReportsController</v>
      </c>
      <c r="D576" s="381" t="s">
        <v>2970</v>
      </c>
      <c r="E576" s="382" t="s">
        <v>2971</v>
      </c>
      <c r="F576" s="105"/>
      <c r="I576" s="105"/>
      <c r="J576" s="105"/>
      <c r="K576" s="118" t="s">
        <v>2972</v>
      </c>
      <c r="L576" s="379" t="s">
        <v>2973</v>
      </c>
      <c r="M576" s="89" t="s">
        <v>2974</v>
      </c>
    </row>
    <row r="577">
      <c r="B577" s="379" t="s">
        <v>2975</v>
      </c>
      <c r="C577" s="380" t="str">
        <f>HYPERLINK("https://docs.google.com/document/d/1FZCL9KWSdVNsX9BowuZ3gxbCOJoiWX-GVLctSZei3No/edit?ts=5cd6cad3#heading=h.9t31xlwczfwh","Refactoring QuestionnairesController")</f>
        <v>Refactoring QuestionnairesController</v>
      </c>
      <c r="D577" s="381" t="s">
        <v>2976</v>
      </c>
      <c r="E577" s="382" t="s">
        <v>2977</v>
      </c>
      <c r="F577" s="105"/>
      <c r="I577" s="105"/>
      <c r="J577" s="105"/>
      <c r="K577" s="118" t="s">
        <v>2978</v>
      </c>
      <c r="L577" s="379" t="s">
        <v>2979</v>
      </c>
      <c r="M577" s="89" t="s">
        <v>2980</v>
      </c>
    </row>
    <row r="578">
      <c r="B578" s="362" t="s">
        <v>2981</v>
      </c>
      <c r="C578" s="363" t="str">
        <f>HYPERLINK("https://docs.google.com/document/d/1FZCL9KWSdVNsX9BowuZ3gxbCOJoiWX-GVLctSZei3No/edit?ts=5cd6cad3#heading=h.jh4pfhs74cwy","Refactoring the Chart helper")</f>
        <v>Refactoring the Chart helper</v>
      </c>
      <c r="D578" s="162" t="s">
        <v>2982</v>
      </c>
      <c r="E578" s="126" t="s">
        <v>2983</v>
      </c>
      <c r="F578" s="214"/>
      <c r="G578" s="31"/>
      <c r="H578" s="31"/>
      <c r="I578" s="214"/>
      <c r="J578" s="214"/>
      <c r="K578" s="165" t="s">
        <v>2984</v>
      </c>
      <c r="L578" s="362" t="s">
        <v>2985</v>
      </c>
      <c r="M578" s="101"/>
    </row>
    <row r="579">
      <c r="B579" s="346" t="s">
        <v>2986</v>
      </c>
      <c r="C579" s="347" t="str">
        <f>HYPERLINK("https://docs.google.com/document/d/1FZCL9KWSdVNsX9BowuZ3gxbCOJoiWX-GVLctSZei3No/edit?ts=5cd6cad3#heading=h.mvxm67h0ads7","Refactoring the Bookmark model")</f>
        <v>Refactoring the Bookmark model</v>
      </c>
      <c r="D579" s="348" t="s">
        <v>23</v>
      </c>
      <c r="E579" s="351"/>
      <c r="F579" s="220"/>
      <c r="G579" s="85"/>
      <c r="H579" s="85"/>
      <c r="I579" s="220"/>
      <c r="J579" s="220"/>
      <c r="K579" s="194"/>
      <c r="L579" s="350" t="s">
        <v>2736</v>
      </c>
      <c r="M579" s="194"/>
    </row>
    <row r="580">
      <c r="B580" s="350" t="s">
        <v>2987</v>
      </c>
      <c r="C580" s="384" t="str">
        <f>HYPERLINK("https://docs.google.com/document/d/1FZCL9KWSdVNsX9BowuZ3gxbCOJoiWX-GVLctSZei3No/edit?ts=5cd6cad3#heading=h.t6dpwl9ulbz4","Refactoring AssignmentsController")</f>
        <v>Refactoring AssignmentsController</v>
      </c>
      <c r="D580" s="170" t="s">
        <v>2988</v>
      </c>
      <c r="E580" s="392" t="s">
        <v>2989</v>
      </c>
      <c r="F580" s="81" t="s">
        <v>18</v>
      </c>
      <c r="G580" s="85"/>
      <c r="H580" s="85"/>
      <c r="I580" s="81"/>
      <c r="J580" s="81"/>
      <c r="K580" s="174" t="s">
        <v>2990</v>
      </c>
      <c r="L580" s="350" t="s">
        <v>2991</v>
      </c>
      <c r="M580" s="171"/>
    </row>
    <row r="581">
      <c r="B581" s="379" t="s">
        <v>2992</v>
      </c>
      <c r="C581" s="380" t="str">
        <f>HYPERLINK("https://docs.google.com/document/d/1FZCL9KWSdVNsX9BowuZ3gxbCOJoiWX-GVLctSZei3No/edit?ts=5cd6cad3#heading=h.d3ufq87rwtur","Refactoring AssignmentTeam and CourseTeam models")</f>
        <v>Refactoring AssignmentTeam and CourseTeam models</v>
      </c>
      <c r="D581" s="381" t="s">
        <v>2862</v>
      </c>
      <c r="E581" s="382" t="s">
        <v>2993</v>
      </c>
      <c r="F581" s="105"/>
      <c r="I581" s="105"/>
      <c r="J581" s="105"/>
      <c r="K581" s="118" t="s">
        <v>2994</v>
      </c>
      <c r="L581" s="379" t="s">
        <v>2995</v>
      </c>
      <c r="M581" s="89" t="s">
        <v>2980</v>
      </c>
    </row>
    <row r="582">
      <c r="B582" s="379" t="s">
        <v>2996</v>
      </c>
      <c r="C582" s="380" t="str">
        <f>HYPERLINK("https://docs.google.com/document/d/1FZCL9KWSdVNsX9BowuZ3gxbCOJoiWX-GVLctSZei3No/edit?ts=5cd6cad3#heading=h.d5uh8skc9rn8","Create Mailers for all e-mail messages")</f>
        <v>Create Mailers for all e-mail messages</v>
      </c>
      <c r="D582" s="381" t="s">
        <v>2997</v>
      </c>
      <c r="E582" s="382" t="s">
        <v>2998</v>
      </c>
      <c r="F582" s="63" t="s">
        <v>18</v>
      </c>
      <c r="I582" s="63"/>
      <c r="J582" s="63"/>
      <c r="K582" s="118" t="s">
        <v>2999</v>
      </c>
      <c r="L582" s="379" t="s">
        <v>3000</v>
      </c>
      <c r="M582" s="393" t="s">
        <v>3001</v>
      </c>
    </row>
    <row r="583">
      <c r="B583" s="379" t="s">
        <v>3002</v>
      </c>
      <c r="C583" s="380" t="str">
        <f>HYPERLINK("https://docs.google.com/document/d/1FZCL9KWSdVNsX9BowuZ3gxbCOJoiWX-GVLctSZei3No/edit?ts=5cd6cad3#heading=h.b56ll85v8vqo","Different rubrics for different rounds: UI change")</f>
        <v>Different rubrics for different rounds: UI change</v>
      </c>
      <c r="D583" s="381" t="s">
        <v>3003</v>
      </c>
      <c r="E583" s="382" t="s">
        <v>3004</v>
      </c>
      <c r="F583" s="105"/>
      <c r="I583" s="105"/>
      <c r="J583" s="105"/>
      <c r="K583" s="118" t="s">
        <v>3005</v>
      </c>
      <c r="L583" s="379" t="s">
        <v>3006</v>
      </c>
      <c r="M583" s="89" t="s">
        <v>3007</v>
      </c>
    </row>
    <row r="584">
      <c r="A584" s="394" t="s">
        <v>3008</v>
      </c>
      <c r="B584" s="395" t="s">
        <v>3009</v>
      </c>
      <c r="C584" s="396" t="s">
        <v>3010</v>
      </c>
      <c r="D584" s="397" t="s">
        <v>3011</v>
      </c>
      <c r="E584" s="398" t="s">
        <v>3012</v>
      </c>
      <c r="F584" s="105"/>
      <c r="I584" s="105"/>
      <c r="J584" s="105"/>
      <c r="K584" s="89" t="s">
        <v>3013</v>
      </c>
      <c r="L584" s="395" t="s">
        <v>3014</v>
      </c>
      <c r="M584" s="89" t="s">
        <v>3015</v>
      </c>
    </row>
    <row r="585">
      <c r="B585" s="395" t="s">
        <v>3016</v>
      </c>
      <c r="C585" s="396" t="s">
        <v>3017</v>
      </c>
      <c r="D585" s="397" t="s">
        <v>3018</v>
      </c>
      <c r="E585" s="398" t="s">
        <v>3019</v>
      </c>
      <c r="F585" s="105"/>
      <c r="I585" s="105"/>
      <c r="J585" s="105"/>
      <c r="K585" s="89" t="s">
        <v>3020</v>
      </c>
      <c r="L585" s="395" t="s">
        <v>3021</v>
      </c>
      <c r="M585" s="197" t="s">
        <v>3022</v>
      </c>
    </row>
    <row r="586">
      <c r="B586" s="395" t="s">
        <v>3023</v>
      </c>
      <c r="C586" s="399" t="str">
        <f>HYPERLINK("https://docs.google.com/document/d/1V4MkZirVRY4znVSpdgg0v0svkJcqrx2ex-VKhlXmMmk/edit?ts=5cd6ca8f#heading=h.ljo4ewndtfv4","Reconcile View Scores and Review Reports")</f>
        <v>Reconcile View Scores and Review Reports</v>
      </c>
      <c r="D586" s="397" t="s">
        <v>3024</v>
      </c>
      <c r="E586" s="400" t="s">
        <v>3025</v>
      </c>
      <c r="F586" s="105"/>
      <c r="I586" s="105"/>
      <c r="J586" s="105"/>
      <c r="K586" s="89" t="s">
        <v>3026</v>
      </c>
      <c r="L586" s="395" t="s">
        <v>3027</v>
      </c>
      <c r="M586" s="92"/>
    </row>
    <row r="587">
      <c r="B587" s="395" t="s">
        <v>3028</v>
      </c>
      <c r="C587" s="399" t="str">
        <f>HYPERLINK("https://docs.google.com/document/d/1V4MkZirVRY4znVSpdgg0v0svkJcqrx2ex-VKhlXmMmk/edit?ts=5cd6ca8f#heading=h.e5j2o6qv9os3","Rubric specialization")</f>
        <v>Rubric specialization</v>
      </c>
      <c r="D587" s="397" t="s">
        <v>3029</v>
      </c>
      <c r="E587" s="400" t="s">
        <v>3030</v>
      </c>
      <c r="F587" s="105"/>
      <c r="I587" s="105"/>
      <c r="J587" s="105"/>
      <c r="K587" s="89" t="s">
        <v>3031</v>
      </c>
      <c r="L587" s="395" t="s">
        <v>3032</v>
      </c>
      <c r="M587" s="92"/>
    </row>
    <row r="588">
      <c r="B588" s="401" t="s">
        <v>3033</v>
      </c>
      <c r="C588" s="402" t="str">
        <f>HYPERLINK("https://docs.google.com/document/d/1V4MkZirVRY4znVSpdgg0v0svkJcqrx2ex-VKhlXmMmk/edit?ts=5cd6ca8f#heading=h.xbew2kcvhc6k","Course analytics")</f>
        <v>Course analytics</v>
      </c>
      <c r="D588" s="403" t="s">
        <v>23</v>
      </c>
      <c r="E588" s="404"/>
      <c r="F588" s="105"/>
      <c r="I588" s="105"/>
      <c r="J588" s="105"/>
      <c r="K588" s="89" t="s">
        <v>3034</v>
      </c>
      <c r="L588" s="395" t="s">
        <v>2736</v>
      </c>
      <c r="M588" s="92"/>
    </row>
    <row r="589">
      <c r="A589" s="352" t="s">
        <v>3035</v>
      </c>
      <c r="B589" s="353" t="s">
        <v>3036</v>
      </c>
      <c r="C589" s="354" t="str">
        <f>HYPERLINK("https://docs.google.com/document/d/1mzoxfDLm8jbVgtR55ldTlbGXO82xgKVOPb_8spJTtqs/edit?ts=5cd6caa6#heading=h.v71g4miqrb9j","Improve tests &amp; investigate regex warnings for team functionality")</f>
        <v>Improve tests &amp; investigate regex warnings for team functionality</v>
      </c>
      <c r="D589" s="355" t="s">
        <v>3037</v>
      </c>
      <c r="E589" s="357" t="s">
        <v>3038</v>
      </c>
      <c r="F589" s="105"/>
      <c r="I589" s="105"/>
      <c r="J589" s="105"/>
      <c r="K589" s="92"/>
      <c r="L589" s="353" t="s">
        <v>3039</v>
      </c>
      <c r="M589" s="91" t="s">
        <v>3040</v>
      </c>
    </row>
    <row r="590">
      <c r="B590" s="353" t="s">
        <v>3041</v>
      </c>
      <c r="C590" s="354" t="str">
        <f>HYPERLINK("https://docs.google.com/document/d/1mzoxfDLm8jbVgtR55ldTlbGXO82xgKVOPb_8spJTtqs/edit?ts=5cd6caa6#heading=h.ptxbdse1eafl","Improve tests &amp; investigate regex warnings for student_task")</f>
        <v>Improve tests &amp; investigate regex warnings for student_task</v>
      </c>
      <c r="D590" s="355" t="s">
        <v>3042</v>
      </c>
      <c r="E590" s="356" t="s">
        <v>3043</v>
      </c>
      <c r="F590" s="105"/>
      <c r="I590" s="105"/>
      <c r="J590" s="105"/>
      <c r="K590" s="92"/>
      <c r="L590" s="353" t="s">
        <v>3044</v>
      </c>
      <c r="M590" s="91" t="s">
        <v>3045</v>
      </c>
    </row>
    <row r="591">
      <c r="B591" s="353" t="s">
        <v>3046</v>
      </c>
      <c r="C591" s="354" t="str">
        <f>HYPERLINK("https://docs.google.com/document/d/1mzoxfDLm8jbVgtR55ldTlbGXO82xgKVOPb_8spJTtqs/edit?ts=5cd6caa6#heading=h.bgu4yls6bveq","Improvements to View Scores")</f>
        <v>Improvements to View Scores</v>
      </c>
      <c r="D591" s="355" t="s">
        <v>3047</v>
      </c>
      <c r="E591" s="357" t="s">
        <v>3048</v>
      </c>
      <c r="F591" s="105"/>
      <c r="I591" s="105"/>
      <c r="J591" s="105"/>
      <c r="K591" s="92"/>
      <c r="L591" s="353" t="s">
        <v>3049</v>
      </c>
      <c r="M591" s="91" t="s">
        <v>3050</v>
      </c>
    </row>
    <row r="592">
      <c r="B592" s="346" t="s">
        <v>3051</v>
      </c>
      <c r="C592" s="347" t="str">
        <f>HYPERLINK("https://docs.google.com/document/d/1mzoxfDLm8jbVgtR55ldTlbGXO82xgKVOPb_8spJTtqs/edit?ts=5cd6caa6#heading=h.ojtu3cbi83ed","Fix TreeDisplayController")</f>
        <v>Fix TreeDisplayController</v>
      </c>
      <c r="D592" s="348" t="s">
        <v>23</v>
      </c>
      <c r="E592" s="351"/>
      <c r="F592" s="220"/>
      <c r="G592" s="85"/>
      <c r="H592" s="85"/>
      <c r="I592" s="220"/>
      <c r="J592" s="220"/>
      <c r="K592" s="194"/>
      <c r="L592" s="350" t="s">
        <v>2736</v>
      </c>
      <c r="M592" s="194"/>
    </row>
    <row r="593">
      <c r="B593" s="353" t="s">
        <v>3052</v>
      </c>
      <c r="C593" s="354" t="str">
        <f>HYPERLINK("https://docs.google.com/document/d/1mzoxfDLm8jbVgtR55ldTlbGXO82xgKVOPb_8spJTtqs/edit?ts=5cd6caa6#heading=h.m572ccwwuiux","Fix review strategies")</f>
        <v>Fix review strategies</v>
      </c>
      <c r="D593" s="355" t="s">
        <v>3053</v>
      </c>
      <c r="E593" s="357" t="s">
        <v>3054</v>
      </c>
      <c r="F593" s="63" t="s">
        <v>18</v>
      </c>
      <c r="I593" s="63"/>
      <c r="J593" s="63"/>
      <c r="K593" s="92"/>
      <c r="L593" s="353" t="s">
        <v>3055</v>
      </c>
      <c r="M593" s="91" t="s">
        <v>3056</v>
      </c>
    </row>
    <row r="594">
      <c r="B594" s="353" t="s">
        <v>3057</v>
      </c>
      <c r="C594" s="354" t="str">
        <f>HYPERLINK("https://docs.google.com/document/d/1mzoxfDLm8jbVgtR55ldTlbGXO82xgKVOPb_8spJTtqs/edit?ts=5cd6caa6#heading=h.6idwzqtesg68","Form object for Assignments")</f>
        <v>Form object for Assignments</v>
      </c>
      <c r="D594" s="355" t="s">
        <v>3011</v>
      </c>
      <c r="E594" s="357" t="s">
        <v>3058</v>
      </c>
      <c r="F594" s="105"/>
      <c r="I594" s="105"/>
      <c r="J594" s="105"/>
      <c r="K594" s="92"/>
      <c r="L594" s="353" t="s">
        <v>3059</v>
      </c>
      <c r="M594" s="91" t="s">
        <v>3060</v>
      </c>
    </row>
    <row r="595">
      <c r="A595" s="405" t="s">
        <v>3061</v>
      </c>
      <c r="B595" s="406" t="s">
        <v>3062</v>
      </c>
      <c r="C595" s="407" t="s">
        <v>3063</v>
      </c>
      <c r="D595" s="408" t="s">
        <v>3064</v>
      </c>
      <c r="E595" s="409" t="s">
        <v>3065</v>
      </c>
      <c r="F595" s="63" t="s">
        <v>18</v>
      </c>
      <c r="I595" s="63"/>
      <c r="J595" s="63"/>
      <c r="K595" s="89" t="s">
        <v>3066</v>
      </c>
      <c r="L595" s="406" t="s">
        <v>3067</v>
      </c>
      <c r="M595" s="92"/>
    </row>
    <row r="596">
      <c r="B596" s="406" t="s">
        <v>3068</v>
      </c>
      <c r="C596" s="407" t="s">
        <v>3069</v>
      </c>
      <c r="D596" s="408" t="s">
        <v>3070</v>
      </c>
      <c r="E596" s="409" t="s">
        <v>3071</v>
      </c>
      <c r="F596" s="63" t="s">
        <v>18</v>
      </c>
      <c r="I596" s="63"/>
      <c r="J596" s="63"/>
      <c r="K596" s="89" t="s">
        <v>3072</v>
      </c>
      <c r="L596" s="406" t="s">
        <v>3073</v>
      </c>
      <c r="M596" s="92"/>
    </row>
    <row r="597">
      <c r="B597" s="406" t="s">
        <v>3074</v>
      </c>
      <c r="C597" s="407" t="s">
        <v>3075</v>
      </c>
      <c r="D597" s="408" t="s">
        <v>3076</v>
      </c>
      <c r="E597" s="410" t="s">
        <v>3077</v>
      </c>
      <c r="F597" s="63" t="s">
        <v>18</v>
      </c>
      <c r="I597" s="63"/>
      <c r="J597" s="63"/>
      <c r="K597" s="89" t="s">
        <v>3078</v>
      </c>
      <c r="L597" s="406" t="s">
        <v>3079</v>
      </c>
      <c r="M597" s="92"/>
    </row>
    <row r="598">
      <c r="B598" s="406" t="s">
        <v>3080</v>
      </c>
      <c r="C598" s="407" t="s">
        <v>631</v>
      </c>
      <c r="D598" s="408" t="s">
        <v>3081</v>
      </c>
      <c r="E598" s="409" t="s">
        <v>3082</v>
      </c>
      <c r="F598" s="105"/>
      <c r="I598" s="105"/>
      <c r="J598" s="105"/>
      <c r="K598" s="89" t="s">
        <v>3083</v>
      </c>
      <c r="L598" s="406" t="s">
        <v>3084</v>
      </c>
      <c r="M598" s="92"/>
    </row>
    <row r="599">
      <c r="B599" s="406" t="s">
        <v>3085</v>
      </c>
      <c r="C599" s="407" t="s">
        <v>3086</v>
      </c>
      <c r="D599" s="408" t="s">
        <v>3087</v>
      </c>
      <c r="E599" s="409" t="s">
        <v>3088</v>
      </c>
      <c r="F599" s="63" t="s">
        <v>18</v>
      </c>
      <c r="I599" s="63"/>
      <c r="J599" s="63"/>
      <c r="K599" s="89" t="s">
        <v>3089</v>
      </c>
      <c r="L599" s="406" t="s">
        <v>3090</v>
      </c>
      <c r="M599" s="92"/>
    </row>
    <row r="600">
      <c r="B600" s="406" t="s">
        <v>3091</v>
      </c>
      <c r="C600" s="407" t="s">
        <v>3092</v>
      </c>
      <c r="D600" s="408" t="s">
        <v>3093</v>
      </c>
      <c r="E600" s="409" t="s">
        <v>3094</v>
      </c>
      <c r="F600" s="105"/>
      <c r="I600" s="105"/>
      <c r="J600" s="105"/>
      <c r="K600" s="89" t="s">
        <v>3095</v>
      </c>
      <c r="L600" s="406" t="s">
        <v>3096</v>
      </c>
      <c r="M600" s="92"/>
    </row>
    <row r="601">
      <c r="B601" s="406" t="s">
        <v>3097</v>
      </c>
      <c r="C601" s="407" t="s">
        <v>3098</v>
      </c>
      <c r="D601" s="408" t="s">
        <v>3099</v>
      </c>
      <c r="E601" s="409" t="s">
        <v>3100</v>
      </c>
      <c r="F601" s="63" t="s">
        <v>18</v>
      </c>
      <c r="I601" s="63"/>
      <c r="J601" s="63"/>
      <c r="K601" s="89" t="s">
        <v>3101</v>
      </c>
      <c r="L601" s="406" t="s">
        <v>3102</v>
      </c>
      <c r="M601" s="92"/>
    </row>
    <row r="602">
      <c r="B602" s="406" t="s">
        <v>3103</v>
      </c>
      <c r="C602" s="407" t="s">
        <v>3104</v>
      </c>
      <c r="D602" s="408" t="s">
        <v>3105</v>
      </c>
      <c r="E602" s="410" t="s">
        <v>3106</v>
      </c>
      <c r="F602" s="63" t="s">
        <v>18</v>
      </c>
      <c r="I602" s="63"/>
      <c r="J602" s="63"/>
      <c r="K602" s="89" t="s">
        <v>3107</v>
      </c>
      <c r="L602" s="406" t="s">
        <v>3108</v>
      </c>
      <c r="M602" s="92"/>
    </row>
    <row r="603">
      <c r="B603" s="406" t="s">
        <v>3109</v>
      </c>
      <c r="C603" s="407" t="s">
        <v>3110</v>
      </c>
      <c r="D603" s="408" t="s">
        <v>3111</v>
      </c>
      <c r="E603" s="409" t="s">
        <v>3112</v>
      </c>
      <c r="F603" s="105"/>
      <c r="I603" s="105"/>
      <c r="J603" s="105"/>
      <c r="K603" s="89" t="s">
        <v>3113</v>
      </c>
      <c r="L603" s="406" t="s">
        <v>3114</v>
      </c>
      <c r="M603" s="92"/>
    </row>
    <row r="604">
      <c r="B604" s="406" t="s">
        <v>3115</v>
      </c>
      <c r="C604" s="407" t="s">
        <v>3116</v>
      </c>
      <c r="D604" s="408" t="s">
        <v>3117</v>
      </c>
      <c r="E604" s="409" t="s">
        <v>3118</v>
      </c>
      <c r="F604" s="63" t="s">
        <v>18</v>
      </c>
      <c r="I604" s="63"/>
      <c r="J604" s="63"/>
      <c r="K604" s="89" t="s">
        <v>3119</v>
      </c>
      <c r="L604" s="406" t="s">
        <v>3120</v>
      </c>
      <c r="M604" s="92"/>
    </row>
    <row r="605">
      <c r="B605" s="406" t="s">
        <v>3121</v>
      </c>
      <c r="C605" s="407" t="s">
        <v>3122</v>
      </c>
      <c r="D605" s="408" t="s">
        <v>3123</v>
      </c>
      <c r="E605" s="409" t="s">
        <v>3124</v>
      </c>
      <c r="F605" s="63" t="s">
        <v>18</v>
      </c>
      <c r="I605" s="63"/>
      <c r="J605" s="63"/>
      <c r="K605" s="89" t="s">
        <v>3125</v>
      </c>
      <c r="L605" s="406" t="s">
        <v>3126</v>
      </c>
      <c r="M605" s="92"/>
    </row>
    <row r="606">
      <c r="B606" s="406" t="s">
        <v>3127</v>
      </c>
      <c r="C606" s="407" t="s">
        <v>3128</v>
      </c>
      <c r="D606" s="408" t="s">
        <v>3129</v>
      </c>
      <c r="E606" s="409" t="s">
        <v>3130</v>
      </c>
      <c r="F606" s="105"/>
      <c r="I606" s="105"/>
      <c r="J606" s="105"/>
      <c r="K606" s="89" t="s">
        <v>3131</v>
      </c>
      <c r="L606" s="406" t="s">
        <v>3132</v>
      </c>
      <c r="M606" s="92"/>
    </row>
    <row r="607">
      <c r="B607" s="406" t="s">
        <v>3133</v>
      </c>
      <c r="C607" s="407" t="s">
        <v>3134</v>
      </c>
      <c r="D607" s="408" t="s">
        <v>3135</v>
      </c>
      <c r="E607" s="409" t="s">
        <v>3136</v>
      </c>
      <c r="F607" s="63" t="s">
        <v>18</v>
      </c>
      <c r="I607" s="63"/>
      <c r="J607" s="63"/>
      <c r="K607" s="89" t="s">
        <v>3137</v>
      </c>
      <c r="L607" s="406" t="s">
        <v>3138</v>
      </c>
      <c r="M607" s="92"/>
    </row>
    <row r="608">
      <c r="B608" s="406" t="s">
        <v>3139</v>
      </c>
      <c r="C608" s="407" t="s">
        <v>3140</v>
      </c>
      <c r="D608" s="408" t="s">
        <v>3141</v>
      </c>
      <c r="E608" s="410" t="s">
        <v>3142</v>
      </c>
      <c r="F608" s="105"/>
      <c r="I608" s="105"/>
      <c r="J608" s="105"/>
      <c r="K608" s="89" t="s">
        <v>3143</v>
      </c>
      <c r="L608" s="406" t="s">
        <v>3144</v>
      </c>
      <c r="M608" s="92"/>
    </row>
    <row r="609">
      <c r="B609" s="406" t="s">
        <v>3145</v>
      </c>
      <c r="C609" s="407" t="s">
        <v>3146</v>
      </c>
      <c r="D609" s="408" t="s">
        <v>3147</v>
      </c>
      <c r="E609" s="409" t="s">
        <v>3148</v>
      </c>
      <c r="F609" s="63" t="s">
        <v>18</v>
      </c>
      <c r="I609" s="63"/>
      <c r="J609" s="63"/>
      <c r="K609" s="89" t="s">
        <v>3149</v>
      </c>
      <c r="L609" s="406" t="s">
        <v>3150</v>
      </c>
      <c r="M609" s="92"/>
    </row>
    <row r="610">
      <c r="B610" s="346" t="s">
        <v>3151</v>
      </c>
      <c r="C610" s="351" t="s">
        <v>3152</v>
      </c>
      <c r="D610" s="348" t="s">
        <v>23</v>
      </c>
      <c r="E610" s="351"/>
      <c r="F610" s="220"/>
      <c r="G610" s="85"/>
      <c r="H610" s="85"/>
      <c r="I610" s="220"/>
      <c r="J610" s="220"/>
      <c r="K610" s="194"/>
      <c r="L610" s="350" t="s">
        <v>2736</v>
      </c>
      <c r="M610" s="194"/>
    </row>
    <row r="611">
      <c r="B611" s="346" t="s">
        <v>3153</v>
      </c>
      <c r="C611" s="351" t="s">
        <v>3154</v>
      </c>
      <c r="D611" s="348" t="s">
        <v>23</v>
      </c>
      <c r="E611" s="351"/>
      <c r="F611" s="220"/>
      <c r="G611" s="85"/>
      <c r="H611" s="85"/>
      <c r="I611" s="220"/>
      <c r="J611" s="220"/>
      <c r="K611" s="194"/>
      <c r="L611" s="350" t="s">
        <v>2736</v>
      </c>
      <c r="M611" s="194"/>
    </row>
    <row r="612">
      <c r="A612" s="411" t="s">
        <v>3155</v>
      </c>
      <c r="B612" s="395" t="s">
        <v>3156</v>
      </c>
      <c r="C612" s="399" t="str">
        <f>HYPERLINK("https://docs.google.com/document/d/1NKoWRDgDTJ8uIds630TISSIlg1DGrtLDT923_2Zaqp4/edit?ts=5cd6ca34#","Refactoring and testing--plagiarism_checker.rb and sentence_state.rb")</f>
        <v>Refactoring and testing--plagiarism_checker.rb and sentence_state.rb</v>
      </c>
      <c r="D612" s="397" t="s">
        <v>3157</v>
      </c>
      <c r="E612" s="412" t="s">
        <v>3158</v>
      </c>
      <c r="F612" s="105"/>
      <c r="I612" s="105"/>
      <c r="J612" s="105"/>
      <c r="K612" s="92"/>
      <c r="L612" s="395" t="s">
        <v>3159</v>
      </c>
      <c r="M612" s="92"/>
    </row>
    <row r="613">
      <c r="B613" s="395" t="s">
        <v>3160</v>
      </c>
      <c r="C613" s="399" t="str">
        <f>HYPERLINK("https://docs.google.com/document/d/1NKoWRDgDTJ8uIds630TISSIlg1DGrtLDT923_2Zaqp4/edit?ts=5cd6ca34#","Refactoring and testing--wordnet_based_similarity.rb")</f>
        <v>Refactoring and testing--wordnet_based_similarity.rb</v>
      </c>
      <c r="D613" s="397" t="s">
        <v>3161</v>
      </c>
      <c r="E613" s="400" t="s">
        <v>3162</v>
      </c>
      <c r="F613" s="105"/>
      <c r="I613" s="105"/>
      <c r="J613" s="105"/>
      <c r="K613" s="92"/>
      <c r="L613" s="395" t="s">
        <v>3163</v>
      </c>
      <c r="M613" s="92"/>
    </row>
    <row r="614">
      <c r="B614" s="395" t="s">
        <v>3164</v>
      </c>
      <c r="C614" s="399" t="str">
        <f>HYPERLINK("https://docs.google.com/document/d/1NKoWRDgDTJ8uIds630TISSIlg1DGrtLDT923_2Zaqp4/edit?ts=5cd6ca34#","Refactoring and testing--graph_generator.rb")</f>
        <v>Refactoring and testing--graph_generator.rb</v>
      </c>
      <c r="D614" s="397" t="s">
        <v>3165</v>
      </c>
      <c r="E614" s="400" t="s">
        <v>3166</v>
      </c>
      <c r="F614" s="105"/>
      <c r="I614" s="105"/>
      <c r="J614" s="105"/>
      <c r="K614" s="92"/>
      <c r="L614" s="395" t="s">
        <v>3167</v>
      </c>
      <c r="M614" s="92"/>
    </row>
    <row r="615">
      <c r="B615" s="395" t="s">
        <v>3168</v>
      </c>
      <c r="C615" s="399" t="str">
        <f>HYPERLINK("https://docs.google.com/document/d/1NKoWRDgDTJ8uIds630TISSIlg1DGrtLDT923_2Zaqp4/edit?ts=5cd6ca34#","Refactoring and testing--degree_of_relevance.rb")</f>
        <v>Refactoring and testing--degree_of_relevance.rb</v>
      </c>
      <c r="D615" s="397" t="s">
        <v>3169</v>
      </c>
      <c r="E615" s="400" t="s">
        <v>3170</v>
      </c>
      <c r="F615" s="105"/>
      <c r="I615" s="105"/>
      <c r="J615" s="105"/>
      <c r="K615" s="92"/>
      <c r="L615" s="395" t="s">
        <v>3171</v>
      </c>
      <c r="M615" s="92"/>
    </row>
    <row r="616">
      <c r="B616" s="395" t="s">
        <v>3172</v>
      </c>
      <c r="C616" s="399" t="str">
        <f>HYPERLINK("https://docs.google.com/document/d/1NKoWRDgDTJ8uIds630TISSIlg1DGrtLDT923_2Zaqp4/edit?ts=5cd6ca34#","Turn automated_metareviews folder into a gem.")</f>
        <v>Turn automated_metareviews folder into a gem.</v>
      </c>
      <c r="D616" s="397" t="s">
        <v>3173</v>
      </c>
      <c r="E616" s="400" t="s">
        <v>3174</v>
      </c>
      <c r="F616" s="105"/>
      <c r="I616" s="105"/>
      <c r="J616" s="105"/>
      <c r="K616" s="92"/>
      <c r="L616" s="395" t="s">
        <v>3175</v>
      </c>
      <c r="M616" s="92"/>
    </row>
    <row r="617">
      <c r="B617" s="395" t="s">
        <v>3176</v>
      </c>
      <c r="C617" s="399" t="str">
        <f>HYPERLINK("https://docs.google.com/document/d/1NKoWRDgDTJ8uIds630TISSIlg1DGrtLDT923_2Zaqp4/edit?ts=5cd6ca34#","Refactor and test submitted_content_controller and submitted_content_helper")</f>
        <v>Refactor and test submitted_content_controller and submitted_content_helper</v>
      </c>
      <c r="D617" s="397" t="s">
        <v>3177</v>
      </c>
      <c r="E617" s="400" t="s">
        <v>3178</v>
      </c>
      <c r="F617" s="105"/>
      <c r="I617" s="105"/>
      <c r="J617" s="105"/>
      <c r="K617" s="92"/>
      <c r="L617" s="395" t="s">
        <v>3179</v>
      </c>
      <c r="M617" s="92"/>
    </row>
    <row r="618">
      <c r="B618" s="395" t="s">
        <v>3180</v>
      </c>
      <c r="C618" s="399" t="str">
        <f>HYPERLINK("https://docs.google.com/document/d/1NKoWRDgDTJ8uIds630TISSIlg1DGrtLDT923_2Zaqp4/edit?ts=5cd6ca34#","Regularize staggered-deadline assignments")</f>
        <v>Regularize staggered-deadline assignments</v>
      </c>
      <c r="D618" s="397" t="s">
        <v>3181</v>
      </c>
      <c r="E618" s="400" t="s">
        <v>3182</v>
      </c>
      <c r="F618" s="105"/>
      <c r="I618" s="105"/>
      <c r="J618" s="105"/>
      <c r="K618" s="92"/>
      <c r="L618" s="395" t="s">
        <v>3183</v>
      </c>
      <c r="M618" s="92"/>
    </row>
    <row r="619">
      <c r="B619" s="395" t="s">
        <v>3184</v>
      </c>
      <c r="C619" s="399" t="str">
        <f>HYPERLINK("https://docs.google.com/document/d/1NKoWRDgDTJ8uIds630TISSIlg1DGrtLDT923_2Zaqp4/edit?ts=5cd6ca34#","TreeDisplay")</f>
        <v>TreeDisplay</v>
      </c>
      <c r="D619" s="397" t="s">
        <v>3185</v>
      </c>
      <c r="E619" s="400" t="s">
        <v>3186</v>
      </c>
      <c r="F619" s="105"/>
      <c r="I619" s="105"/>
      <c r="J619" s="105"/>
      <c r="K619" s="92"/>
      <c r="L619" s="395" t="s">
        <v>3187</v>
      </c>
      <c r="M619" s="92"/>
    </row>
    <row r="620">
      <c r="B620" s="395" t="s">
        <v>3188</v>
      </c>
      <c r="C620" s="399" t="str">
        <f>HYPERLINK("https://docs.google.com/document/d/1NKoWRDgDTJ8uIds630TISSIlg1DGrtLDT923_2Zaqp4/edit?ts=5cd6ca34#","Refactor and test Participant, AssignmentParticipant, and CourseParticipant")</f>
        <v>Refactor and test Participant, AssignmentParticipant, and CourseParticipant</v>
      </c>
      <c r="D620" s="397" t="s">
        <v>3189</v>
      </c>
      <c r="E620" s="400" t="s">
        <v>3190</v>
      </c>
      <c r="F620" s="105"/>
      <c r="I620" s="105"/>
      <c r="J620" s="105"/>
      <c r="K620" s="92"/>
      <c r="L620" s="395" t="s">
        <v>3191</v>
      </c>
      <c r="M620" s="92"/>
    </row>
    <row r="621">
      <c r="B621" s="395" t="s">
        <v>3192</v>
      </c>
      <c r="C621" s="399" t="str">
        <f>HYPERLINK("https://docs.google.com/document/d/1NKoWRDgDTJ8uIds630TISSIlg1DGrtLDT923_2Zaqp4/edit?ts=5cd6ca34#","Refactoring and testing--response_controller.rb")</f>
        <v>Refactoring and testing--response_controller.rb</v>
      </c>
      <c r="D621" s="397" t="s">
        <v>3193</v>
      </c>
      <c r="E621" s="400" t="s">
        <v>3194</v>
      </c>
      <c r="F621" s="105"/>
      <c r="I621" s="105"/>
      <c r="J621" s="105"/>
      <c r="K621" s="92"/>
      <c r="L621" s="395" t="s">
        <v>3195</v>
      </c>
      <c r="M621" s="92"/>
    </row>
    <row r="622">
      <c r="B622" s="395" t="s">
        <v>3196</v>
      </c>
      <c r="C622" s="399" t="str">
        <f>HYPERLINK("https://docs.google.com/document/d/1NKoWRDgDTJ8uIds630TISSIlg1DGrtLDT923_2Zaqp4/edit?ts=5cd6ca34#","Remove ResponseMaps")</f>
        <v>Remove ResponseMaps</v>
      </c>
      <c r="D622" s="397" t="s">
        <v>3197</v>
      </c>
      <c r="E622" s="396"/>
      <c r="F622" s="105"/>
      <c r="I622" s="105"/>
      <c r="J622" s="105"/>
      <c r="K622" s="92"/>
      <c r="L622" s="395" t="s">
        <v>3198</v>
      </c>
      <c r="M622" s="92"/>
    </row>
    <row r="623">
      <c r="B623" s="395" t="s">
        <v>3199</v>
      </c>
      <c r="C623" s="399" t="str">
        <f>HYPERLINK("https://docs.google.com/document/d/1NKoWRDgDTJ8uIds630TISSIlg1DGrtLDT923_2Zaqp4/edit?ts=5cd6ca34#","UI changes for reporting scores")</f>
        <v>UI changes for reporting scores</v>
      </c>
      <c r="D623" s="397" t="s">
        <v>3200</v>
      </c>
      <c r="E623" s="412" t="s">
        <v>3201</v>
      </c>
      <c r="F623" s="105"/>
      <c r="I623" s="105"/>
      <c r="J623" s="105"/>
      <c r="K623" s="92"/>
      <c r="L623" s="395" t="s">
        <v>3202</v>
      </c>
      <c r="M623" s="92"/>
    </row>
    <row r="624">
      <c r="B624" s="395" t="s">
        <v>3203</v>
      </c>
      <c r="C624" s="399" t="str">
        <f>HYPERLINK("https://docs.google.com/document/d/1NKoWRDgDTJ8uIds630TISSIlg1DGrtLDT923_2Zaqp4/edit?ts=5cd6ca34#","A way to query db models to return scores, without UI changes")</f>
        <v>A way to query db models to return scores, without UI changes</v>
      </c>
      <c r="D624" s="397" t="s">
        <v>3204</v>
      </c>
      <c r="E624" s="400" t="s">
        <v>3205</v>
      </c>
      <c r="F624" s="105"/>
      <c r="I624" s="105"/>
      <c r="J624" s="105"/>
      <c r="K624" s="92"/>
      <c r="L624" s="395" t="s">
        <v>3206</v>
      </c>
      <c r="M624" s="92"/>
    </row>
    <row r="625">
      <c r="B625" s="395" t="s">
        <v>3207</v>
      </c>
      <c r="C625" s="399" t="str">
        <f>HYPERLINK("https://docs.google.com/document/d/1NKoWRDgDTJ8uIds630TISSIlg1DGrtLDT923_2Zaqp4/edit?ts=5cd6ca34#","Refactoring and testing--signup_sheet model")</f>
        <v>Refactoring and testing--signup_sheet model</v>
      </c>
      <c r="D625" s="397" t="s">
        <v>3208</v>
      </c>
      <c r="E625" s="400" t="s">
        <v>3209</v>
      </c>
      <c r="F625" s="105"/>
      <c r="I625" s="105"/>
      <c r="J625" s="105"/>
      <c r="K625" s="92"/>
      <c r="L625" s="395" t="s">
        <v>3210</v>
      </c>
      <c r="M625" s="92"/>
    </row>
    <row r="626">
      <c r="B626" s="395" t="s">
        <v>3211</v>
      </c>
      <c r="C626" s="399" t="str">
        <f>HYPERLINK("https://docs.google.com/document/d/1NKoWRDgDTJ8uIds630TISSIlg1DGrtLDT923_2Zaqp4/edit?ts=5cd6ca34#","Refactoring and testing--sign_up_sheet_controller")</f>
        <v>Refactoring and testing--sign_up_sheet_controller</v>
      </c>
      <c r="D626" s="397" t="s">
        <v>3212</v>
      </c>
      <c r="E626" s="400" t="s">
        <v>3213</v>
      </c>
      <c r="F626" s="105"/>
      <c r="I626" s="105"/>
      <c r="J626" s="105"/>
      <c r="K626" s="92"/>
      <c r="L626" s="395" t="s">
        <v>3214</v>
      </c>
      <c r="M626" s="92"/>
    </row>
    <row r="627">
      <c r="B627" s="395" t="s">
        <v>3215</v>
      </c>
      <c r="C627" s="399" t="str">
        <f>HYPERLINK("https://docs.google.com/document/d/1NKoWRDgDTJ8uIds630TISSIlg1DGrtLDT923_2Zaqp4/edit?ts=5cd6ca34#","Refactoring and testing--assignments_controller")</f>
        <v>Refactoring and testing--assignments_controller</v>
      </c>
      <c r="D627" s="397" t="s">
        <v>3216</v>
      </c>
      <c r="E627" s="400" t="s">
        <v>3217</v>
      </c>
      <c r="F627" s="105"/>
      <c r="I627" s="105"/>
      <c r="J627" s="105"/>
      <c r="K627" s="92"/>
      <c r="L627" s="395" t="s">
        <v>3218</v>
      </c>
      <c r="M627" s="92"/>
    </row>
    <row r="628">
      <c r="A628" s="413" t="s">
        <v>3219</v>
      </c>
      <c r="B628" s="414" t="s">
        <v>3220</v>
      </c>
      <c r="C628" s="415" t="str">
        <f>HYPERLINK("https://docs.google.com/document/d/11YTjxFXFR13vJ769yFBbqn9qOueK2Ktz0Pd-gyS2W5U/edit?ts=5cd6c9ea#heading=h.kzgmh0j3m6yu","Undo")</f>
        <v>Undo</v>
      </c>
      <c r="D628" s="416" t="s">
        <v>3221</v>
      </c>
      <c r="E628" s="417" t="s">
        <v>3222</v>
      </c>
      <c r="F628" s="63" t="s">
        <v>18</v>
      </c>
      <c r="I628" s="63"/>
      <c r="J628" s="63"/>
      <c r="K628" s="89" t="s">
        <v>3223</v>
      </c>
      <c r="L628" s="414" t="s">
        <v>3224</v>
      </c>
      <c r="M628" s="92"/>
    </row>
    <row r="629">
      <c r="B629" s="418" t="s">
        <v>3225</v>
      </c>
      <c r="C629" s="419" t="str">
        <f>HYPERLINK("https://docs.google.com/document/d/11YTjxFXFR13vJ769yFBbqn9qOueK2Ktz0Pd-gyS2W5U/edit?ts=5cd6c9ea#heading=h.5nse6rtcszy","Speed of score reporting")</f>
        <v>Speed of score reporting</v>
      </c>
      <c r="D629" s="420" t="s">
        <v>23</v>
      </c>
      <c r="E629" s="421"/>
      <c r="F629" s="105"/>
      <c r="I629" s="105"/>
      <c r="J629" s="105"/>
      <c r="K629" s="92"/>
      <c r="L629" s="414" t="s">
        <v>2736</v>
      </c>
      <c r="M629" s="92"/>
    </row>
    <row r="630">
      <c r="B630" s="416" t="s">
        <v>3226</v>
      </c>
      <c r="C630" s="415" t="str">
        <f>HYPERLINK("https://docs.google.com/document/d/11YTjxFXFR13vJ769yFBbqn9qOueK2Ktz0Pd-gyS2W5U/edit?ts=5cd6c9ea#heading=h.rsr8bmq9sxql","Analytics")</f>
        <v>Analytics</v>
      </c>
      <c r="D630" s="416" t="s">
        <v>3227</v>
      </c>
      <c r="E630" s="417" t="s">
        <v>3228</v>
      </c>
      <c r="F630" s="63" t="s">
        <v>18</v>
      </c>
      <c r="I630" s="63"/>
      <c r="J630" s="63"/>
      <c r="K630" s="89" t="s">
        <v>3229</v>
      </c>
      <c r="L630" s="414" t="s">
        <v>3230</v>
      </c>
      <c r="M630" s="92"/>
    </row>
    <row r="631">
      <c r="B631" s="346" t="s">
        <v>3231</v>
      </c>
      <c r="C631" s="347" t="str">
        <f>HYPERLINK("https://docs.google.com/document/d/11YTjxFXFR13vJ769yFBbqn9qOueK2Ktz0Pd-gyS2W5U/edit?ts=5cd6c9ea#heading=h.qwik0u4rowk1","Replace Goldberg menus")</f>
        <v>Replace Goldberg menus</v>
      </c>
      <c r="D631" s="348" t="s">
        <v>23</v>
      </c>
      <c r="E631" s="351"/>
      <c r="F631" s="220"/>
      <c r="G631" s="85"/>
      <c r="H631" s="85"/>
      <c r="I631" s="220"/>
      <c r="J631" s="220"/>
      <c r="K631" s="194"/>
      <c r="L631" s="350" t="s">
        <v>2736</v>
      </c>
      <c r="M631" s="194"/>
    </row>
    <row r="632">
      <c r="B632" s="273" t="s">
        <v>3232</v>
      </c>
      <c r="C632" s="422"/>
      <c r="D632" s="273" t="s">
        <v>23</v>
      </c>
      <c r="E632" s="392"/>
      <c r="F632" s="81"/>
      <c r="G632" s="85"/>
      <c r="H632" s="85"/>
      <c r="I632" s="81"/>
      <c r="J632" s="81"/>
      <c r="K632" s="171"/>
      <c r="L632" s="350"/>
      <c r="M632" s="194"/>
    </row>
    <row r="633">
      <c r="B633" s="273" t="s">
        <v>3233</v>
      </c>
      <c r="C633" s="422"/>
      <c r="D633" s="273" t="s">
        <v>23</v>
      </c>
      <c r="E633" s="392"/>
      <c r="F633" s="81"/>
      <c r="G633" s="85"/>
      <c r="H633" s="85"/>
      <c r="I633" s="81"/>
      <c r="J633" s="81"/>
      <c r="K633" s="171"/>
      <c r="L633" s="350"/>
      <c r="M633" s="194"/>
    </row>
    <row r="634">
      <c r="B634" s="414" t="s">
        <v>3234</v>
      </c>
      <c r="C634" s="415" t="str">
        <f>HYPERLINK("https://docs.google.com/document/d/11YTjxFXFR13vJ769yFBbqn9qOueK2Ktz0Pd-gyS2W5U/edit?ts=5cd6c9ea#heading=h.1zogej8nfkwc","Reputation system")</f>
        <v>Reputation system</v>
      </c>
      <c r="D634" s="416" t="s">
        <v>3235</v>
      </c>
      <c r="E634" s="417" t="s">
        <v>3236</v>
      </c>
      <c r="F634" s="63" t="s">
        <v>18</v>
      </c>
      <c r="I634" s="63"/>
      <c r="J634" s="63"/>
      <c r="K634" s="89" t="s">
        <v>3237</v>
      </c>
      <c r="L634" s="414" t="s">
        <v>3238</v>
      </c>
      <c r="M634" s="92"/>
    </row>
    <row r="635">
      <c r="B635" s="170" t="s">
        <v>3239</v>
      </c>
      <c r="C635" s="422"/>
      <c r="D635" s="273" t="s">
        <v>23</v>
      </c>
      <c r="E635" s="392"/>
      <c r="F635" s="220"/>
      <c r="G635" s="85"/>
      <c r="H635" s="85"/>
      <c r="I635" s="220"/>
      <c r="J635" s="220"/>
      <c r="K635" s="171"/>
      <c r="L635" s="350"/>
      <c r="M635" s="194"/>
    </row>
    <row r="636">
      <c r="B636" s="414" t="s">
        <v>3240</v>
      </c>
      <c r="C636" s="415" t="str">
        <f>HYPERLINK("https://docs.google.com/document/d/11YTjxFXFR13vJ769yFBbqn9qOueK2Ktz0Pd-gyS2W5U/edit?ts=5cd6c9ea#heading=h.wykkot31f034","Better display of review information")</f>
        <v>Better display of review information</v>
      </c>
      <c r="D636" s="416" t="s">
        <v>3241</v>
      </c>
      <c r="E636" s="417" t="s">
        <v>3242</v>
      </c>
      <c r="F636" s="105"/>
      <c r="I636" s="105"/>
      <c r="J636" s="105"/>
      <c r="K636" s="89" t="s">
        <v>3243</v>
      </c>
      <c r="L636" s="414" t="s">
        <v>3244</v>
      </c>
      <c r="M636" s="92"/>
    </row>
    <row r="637">
      <c r="B637" s="193" t="s">
        <v>3245</v>
      </c>
      <c r="C637" s="422"/>
      <c r="D637" s="273" t="s">
        <v>23</v>
      </c>
      <c r="E637" s="174"/>
      <c r="F637" s="220"/>
      <c r="G637" s="85"/>
      <c r="H637" s="85"/>
      <c r="I637" s="220"/>
      <c r="J637" s="220"/>
      <c r="K637" s="194"/>
      <c r="L637" s="350"/>
      <c r="M637" s="194"/>
    </row>
    <row r="638">
      <c r="B638" s="170" t="s">
        <v>3246</v>
      </c>
      <c r="C638" s="422"/>
      <c r="D638" s="273" t="s">
        <v>23</v>
      </c>
      <c r="E638" s="174"/>
      <c r="F638" s="220"/>
      <c r="G638" s="85"/>
      <c r="H638" s="85"/>
      <c r="I638" s="220"/>
      <c r="J638" s="220"/>
      <c r="K638" s="194"/>
      <c r="L638" s="350"/>
      <c r="M638" s="194"/>
    </row>
    <row r="639">
      <c r="B639" s="170" t="s">
        <v>3247</v>
      </c>
      <c r="C639" s="422"/>
      <c r="D639" s="273" t="s">
        <v>23</v>
      </c>
      <c r="E639" s="174"/>
      <c r="F639" s="220"/>
      <c r="G639" s="85"/>
      <c r="H639" s="85"/>
      <c r="I639" s="220"/>
      <c r="J639" s="220"/>
      <c r="K639" s="194"/>
      <c r="L639" s="350"/>
      <c r="M639" s="194"/>
    </row>
    <row r="640">
      <c r="B640" s="170" t="s">
        <v>3248</v>
      </c>
      <c r="C640" s="422"/>
      <c r="D640" s="273" t="s">
        <v>23</v>
      </c>
      <c r="E640" s="174"/>
      <c r="F640" s="220"/>
      <c r="G640" s="85"/>
      <c r="H640" s="85"/>
      <c r="I640" s="220"/>
      <c r="J640" s="220"/>
      <c r="K640" s="194"/>
      <c r="L640" s="350"/>
      <c r="M640" s="194"/>
    </row>
    <row r="641">
      <c r="B641" s="170" t="s">
        <v>3249</v>
      </c>
      <c r="C641" s="422"/>
      <c r="D641" s="273" t="s">
        <v>23</v>
      </c>
      <c r="E641" s="174"/>
      <c r="F641" s="220"/>
      <c r="G641" s="85"/>
      <c r="H641" s="85"/>
      <c r="I641" s="220"/>
      <c r="J641" s="220"/>
      <c r="K641" s="194"/>
      <c r="L641" s="350"/>
      <c r="M641" s="194"/>
    </row>
    <row r="642">
      <c r="B642" s="170" t="s">
        <v>3250</v>
      </c>
      <c r="C642" s="422"/>
      <c r="D642" s="273" t="s">
        <v>23</v>
      </c>
      <c r="E642" s="174"/>
      <c r="F642" s="220"/>
      <c r="G642" s="85"/>
      <c r="H642" s="85"/>
      <c r="I642" s="220"/>
      <c r="J642" s="220"/>
      <c r="K642" s="194"/>
      <c r="L642" s="350"/>
      <c r="M642" s="194"/>
    </row>
    <row r="643">
      <c r="B643" s="170" t="s">
        <v>3251</v>
      </c>
      <c r="C643" s="422"/>
      <c r="D643" s="273" t="s">
        <v>23</v>
      </c>
      <c r="E643" s="174"/>
      <c r="F643" s="220"/>
      <c r="G643" s="85"/>
      <c r="H643" s="85"/>
      <c r="I643" s="220"/>
      <c r="J643" s="220"/>
      <c r="K643" s="194"/>
      <c r="L643" s="350"/>
      <c r="M643" s="194"/>
    </row>
    <row r="644">
      <c r="B644" s="170" t="s">
        <v>3252</v>
      </c>
      <c r="C644" s="422"/>
      <c r="D644" s="273" t="s">
        <v>23</v>
      </c>
      <c r="E644" s="174"/>
      <c r="F644" s="220"/>
      <c r="G644" s="85"/>
      <c r="H644" s="85"/>
      <c r="I644" s="220"/>
      <c r="J644" s="220"/>
      <c r="K644" s="194"/>
      <c r="L644" s="350"/>
      <c r="M644" s="194"/>
    </row>
    <row r="645">
      <c r="B645" s="170" t="s">
        <v>3253</v>
      </c>
      <c r="C645" s="422"/>
      <c r="D645" s="273" t="s">
        <v>23</v>
      </c>
      <c r="E645" s="174"/>
      <c r="F645" s="220"/>
      <c r="G645" s="85"/>
      <c r="H645" s="85"/>
      <c r="I645" s="220"/>
      <c r="J645" s="220"/>
      <c r="K645" s="194"/>
      <c r="L645" s="350"/>
      <c r="M645" s="194"/>
    </row>
    <row r="646">
      <c r="B646" s="170" t="s">
        <v>3254</v>
      </c>
      <c r="C646" s="422"/>
      <c r="D646" s="273" t="s">
        <v>23</v>
      </c>
      <c r="E646" s="174"/>
      <c r="F646" s="220"/>
      <c r="G646" s="85"/>
      <c r="H646" s="85"/>
      <c r="I646" s="220"/>
      <c r="J646" s="220"/>
      <c r="K646" s="194"/>
      <c r="L646" s="350"/>
      <c r="M646" s="194"/>
    </row>
    <row r="647">
      <c r="B647" s="170" t="s">
        <v>3255</v>
      </c>
      <c r="C647" s="422"/>
      <c r="D647" s="273" t="s">
        <v>23</v>
      </c>
      <c r="E647" s="174"/>
      <c r="F647" s="220"/>
      <c r="G647" s="85"/>
      <c r="H647" s="85"/>
      <c r="I647" s="220"/>
      <c r="J647" s="220"/>
      <c r="K647" s="194"/>
      <c r="L647" s="350"/>
      <c r="M647" s="194"/>
    </row>
    <row r="648">
      <c r="B648" s="414" t="s">
        <v>3256</v>
      </c>
      <c r="C648" s="415" t="str">
        <f>HYPERLINK("https://docs.google.com/document/d/11YTjxFXFR13vJ769yFBbqn9qOueK2Ktz0Pd-gyS2W5U/edit?ts=5cd6c9ea#heading=h.jxr2aiovjvhb","Quizzing")</f>
        <v>Quizzing</v>
      </c>
      <c r="D648" s="416" t="s">
        <v>3257</v>
      </c>
      <c r="E648" s="423"/>
      <c r="F648" s="105"/>
      <c r="I648" s="105"/>
      <c r="J648" s="105"/>
      <c r="K648" s="92"/>
      <c r="L648" s="414" t="s">
        <v>2736</v>
      </c>
      <c r="M648" s="92"/>
    </row>
    <row r="649">
      <c r="A649" s="378" t="s">
        <v>3258</v>
      </c>
      <c r="B649" s="379" t="s">
        <v>3259</v>
      </c>
      <c r="C649" s="380" t="str">
        <f>HYPERLINK("https://docs.google.com/document/d/1SVNx7Eh6dUdrz2a9rGSgBxLkxAmuBUm8eu08nHEdjIg/edit?ts=5cd6ca07","Integrating game frontend for Expertiza")</f>
        <v>Integrating game frontend for Expertiza</v>
      </c>
      <c r="D649" s="381" t="s">
        <v>3260</v>
      </c>
      <c r="E649" s="424" t="s">
        <v>3261</v>
      </c>
      <c r="F649" s="105"/>
      <c r="K649" s="92"/>
      <c r="M649" s="92"/>
    </row>
    <row r="650">
      <c r="B650" s="425" t="s">
        <v>3262</v>
      </c>
      <c r="C650" s="426" t="str">
        <f>HYPERLINK("https://docs.google.com/document/d/1SVNx7Eh6dUdrz2a9rGSgBxLkxAmuBUm8eu08nHEdjIg/edit?ts=5cd6ca07","Testing - sign_up_sheet_controller")</f>
        <v>Testing - sign_up_sheet_controller</v>
      </c>
      <c r="D650" s="427" t="s">
        <v>3263</v>
      </c>
      <c r="E650" s="428"/>
      <c r="F650" s="105"/>
      <c r="K650" s="92"/>
      <c r="M650" s="92"/>
    </row>
    <row r="651">
      <c r="B651" s="379" t="s">
        <v>3264</v>
      </c>
      <c r="C651" s="380" t="str">
        <f>HYPERLINK("https://docs.google.com/document/d/1SVNx7Eh6dUdrz2a9rGSgBxLkxAmuBUm8eu08nHEdjIg/edit?ts=5cd6ca07","Refactoring and testing - course")</f>
        <v>Refactoring and testing - course</v>
      </c>
      <c r="D651" s="381" t="s">
        <v>3265</v>
      </c>
      <c r="E651" s="382" t="s">
        <v>3266</v>
      </c>
      <c r="F651" s="105"/>
      <c r="K651" s="92"/>
      <c r="M651" s="92"/>
    </row>
    <row r="652">
      <c r="B652" s="379" t="s">
        <v>3267</v>
      </c>
      <c r="C652" s="380" t="str">
        <f>HYPERLINK("https://docs.google.com/document/d/1SVNx7Eh6dUdrz2a9rGSgBxLkxAmuBUm8eu08nHEdjIg/edit?ts=5cd6ca07","Testing - questionnaire")</f>
        <v>Testing - questionnaire</v>
      </c>
      <c r="D652" s="381" t="s">
        <v>3268</v>
      </c>
      <c r="E652" s="382" t="s">
        <v>3269</v>
      </c>
      <c r="F652" s="105"/>
      <c r="K652" s="92"/>
      <c r="M652" s="92"/>
    </row>
    <row r="653">
      <c r="B653" s="379" t="s">
        <v>3270</v>
      </c>
      <c r="C653" s="380" t="str">
        <f>HYPERLINK("https://docs.google.com/document/d/1SVNx7Eh6dUdrz2a9rGSgBxLkxAmuBUm8eu08nHEdjIg/edit?ts=5cd6ca07","Refactoring - questionnaire")</f>
        <v>Refactoring - questionnaire</v>
      </c>
      <c r="D653" s="381" t="s">
        <v>3271</v>
      </c>
      <c r="E653" s="382" t="s">
        <v>3272</v>
      </c>
      <c r="F653" s="105"/>
      <c r="K653" s="92"/>
      <c r="M653" s="92"/>
    </row>
    <row r="654">
      <c r="B654" s="379" t="s">
        <v>3273</v>
      </c>
      <c r="C654" s="380" t="str">
        <f>HYPERLINK("https://docs.google.com/document/d/1SVNx7Eh6dUdrz2a9rGSgBxLkxAmuBUm8eu08nHEdjIg/edit?ts=5cd6ca07","Cucumber testing and code coverage")</f>
        <v>Cucumber testing and code coverage</v>
      </c>
      <c r="D654" s="381" t="s">
        <v>3274</v>
      </c>
      <c r="E654" s="424" t="s">
        <v>3275</v>
      </c>
      <c r="F654" s="105"/>
      <c r="K654" s="92"/>
      <c r="M654" s="92"/>
    </row>
    <row r="655" ht="316.5" customHeight="1">
      <c r="A655" s="386" t="s">
        <v>3276</v>
      </c>
      <c r="B655" s="389" t="s">
        <v>3239</v>
      </c>
      <c r="C655" s="429" t="s">
        <v>3277</v>
      </c>
      <c r="D655" s="389" t="s">
        <v>3278</v>
      </c>
      <c r="E655" s="430" t="s">
        <v>3279</v>
      </c>
      <c r="F655" s="63" t="s">
        <v>18</v>
      </c>
      <c r="I655" s="63"/>
      <c r="J655" s="63"/>
      <c r="K655" s="89" t="s">
        <v>3280</v>
      </c>
      <c r="L655" s="387"/>
      <c r="M655" s="92"/>
    </row>
    <row r="656">
      <c r="B656" s="389" t="s">
        <v>3247</v>
      </c>
      <c r="C656" s="388" t="str">
        <f>HYPERLINK("https://docs.google.com/document/d/1PsBsduQqk0xOnoE-Uv3wSd8YokIQmIQxrIEqWSUGYm8/edit?ts=5cd6c9be#heading=h.aj5fregtcmql","Cucumber tests")</f>
        <v>Cucumber tests</v>
      </c>
      <c r="D656" s="389" t="s">
        <v>3281</v>
      </c>
      <c r="E656" s="390" t="s">
        <v>3282</v>
      </c>
      <c r="F656" s="63" t="s">
        <v>18</v>
      </c>
      <c r="I656" s="63"/>
      <c r="J656" s="63"/>
      <c r="K656" s="89"/>
      <c r="L656" s="389" t="s">
        <v>3283</v>
      </c>
      <c r="M656" s="92"/>
    </row>
    <row r="657">
      <c r="B657" s="387" t="s">
        <v>3248</v>
      </c>
      <c r="C657" s="388" t="str">
        <f>HYPERLINK("https://docs.google.com/document/d/1PsBsduQqk0xOnoE-Uv3wSd8YokIQmIQxrIEqWSUGYm8/edit?ts=5cd6c9be#heading=h.pvujcqg44cew","Improvements to assignment_controller")</f>
        <v>Improvements to assignment_controller</v>
      </c>
      <c r="D657" s="389" t="s">
        <v>3284</v>
      </c>
      <c r="E657" s="390" t="s">
        <v>3285</v>
      </c>
      <c r="F657" s="105"/>
      <c r="I657" s="105"/>
      <c r="J657" s="105"/>
      <c r="K657" s="89" t="s">
        <v>3286</v>
      </c>
      <c r="L657" s="387" t="s">
        <v>3287</v>
      </c>
      <c r="M657" s="92"/>
    </row>
    <row r="658">
      <c r="B658" s="387" t="s">
        <v>3249</v>
      </c>
      <c r="C658" s="388" t="str">
        <f>HYPERLINK("https://docs.google.com/document/d/1PsBsduQqk0xOnoE-Uv3wSd8YokIQmIQxrIEqWSUGYm8/edit?ts=5cd6c9be#heading=h.exj5fb84an0k","Fix review versioning")</f>
        <v>Fix review versioning</v>
      </c>
      <c r="D658" s="389" t="s">
        <v>3288</v>
      </c>
      <c r="E658" s="390" t="s">
        <v>3289</v>
      </c>
      <c r="F658" s="105"/>
      <c r="I658" s="105"/>
      <c r="J658" s="105"/>
      <c r="K658" s="89" t="s">
        <v>3290</v>
      </c>
      <c r="L658" s="387" t="s">
        <v>3291</v>
      </c>
      <c r="M658" s="92"/>
    </row>
    <row r="659">
      <c r="B659" s="387" t="s">
        <v>3250</v>
      </c>
      <c r="C659" s="388" t="str">
        <f>HYPERLINK("https://docs.google.com/document/d/1PsBsduQqk0xOnoE-Uv3wSd8YokIQmIQxrIEqWSUGYm8/edit?ts=5cd6c9be#heading=h.ekwkuqs2cvdt","Module to take reports on interactions with other groups")</f>
        <v>Module to take reports on interactions with other groups</v>
      </c>
      <c r="D659" s="389" t="s">
        <v>3292</v>
      </c>
      <c r="E659" s="430" t="s">
        <v>3293</v>
      </c>
      <c r="F659" s="105"/>
      <c r="I659" s="105"/>
      <c r="J659" s="105"/>
      <c r="K659" s="89" t="s">
        <v>3294</v>
      </c>
      <c r="L659" s="387" t="s">
        <v>3295</v>
      </c>
      <c r="M659" s="92"/>
    </row>
    <row r="660">
      <c r="B660" s="387" t="s">
        <v>3251</v>
      </c>
      <c r="C660" s="388" t="str">
        <f>HYPERLINK("https://docs.google.com/document/d/1PsBsduQqk0xOnoE-Uv3wSd8YokIQmIQxrIEqWSUGYm8/edit?ts=5cd6c9be#heading=h.3fdla5hc5p3b","Merging 3")</f>
        <v>Merging 3</v>
      </c>
      <c r="D660" s="389" t="s">
        <v>3296</v>
      </c>
      <c r="E660" s="430" t="s">
        <v>3297</v>
      </c>
      <c r="F660" s="105"/>
      <c r="I660" s="105"/>
      <c r="J660" s="105"/>
      <c r="K660" s="89" t="s">
        <v>3298</v>
      </c>
      <c r="L660" s="387" t="s">
        <v>3299</v>
      </c>
      <c r="M660" s="92"/>
    </row>
    <row r="661">
      <c r="B661" s="387" t="s">
        <v>3252</v>
      </c>
      <c r="C661" s="388" t="str">
        <f>HYPERLINK("https://docs.google.com/document/d/1PsBsduQqk0xOnoE-Uv3wSd8YokIQmIQxrIEqWSUGYm8/edit?ts=5cd6c9be#heading=h.3fdla5hc5p3b","Merging 1 &amp; 2")</f>
        <v>Merging 1 &amp; 2</v>
      </c>
      <c r="D661" s="389" t="s">
        <v>3300</v>
      </c>
      <c r="E661" s="431" t="s">
        <v>3301</v>
      </c>
      <c r="F661" s="63" t="s">
        <v>18</v>
      </c>
      <c r="I661" s="63"/>
      <c r="J661" s="63"/>
      <c r="K661" s="89" t="s">
        <v>3302</v>
      </c>
      <c r="L661" s="387" t="s">
        <v>3303</v>
      </c>
      <c r="M661" s="92"/>
    </row>
    <row r="662">
      <c r="B662" s="387" t="s">
        <v>3253</v>
      </c>
      <c r="C662" s="388" t="str">
        <f>HYPERLINK("https://docs.google.com/document/d/1PsBsduQqk0xOnoE-Uv3wSd8YokIQmIQxrIEqWSUGYm8/edit?ts=5cd6c9be#heading=h.3o75l7tkdr7x","Integrating game frontend for Expertiza")</f>
        <v>Integrating game frontend for Expertiza</v>
      </c>
      <c r="D662" s="389" t="s">
        <v>3304</v>
      </c>
      <c r="E662" s="390" t="s">
        <v>3305</v>
      </c>
      <c r="F662" s="105"/>
      <c r="I662" s="105"/>
      <c r="J662" s="105"/>
      <c r="K662" s="89" t="s">
        <v>3306</v>
      </c>
      <c r="L662" s="387" t="s">
        <v>3307</v>
      </c>
      <c r="M662" s="92"/>
    </row>
    <row r="663">
      <c r="B663" s="432" t="s">
        <v>3255</v>
      </c>
      <c r="C663" s="433" t="str">
        <f>HYPERLINK("https://docs.google.com/document/d/1PsBsduQqk0xOnoE-Uv3wSd8YokIQmIQxrIEqWSUGYm8/edit?ts=5cd6c9be#heading=h.kexng0rksvj","360-degree assessment")</f>
        <v>360-degree assessment</v>
      </c>
      <c r="D663" s="434" t="s">
        <v>23</v>
      </c>
      <c r="E663" s="435" t="s">
        <v>3308</v>
      </c>
      <c r="F663" s="105"/>
      <c r="I663" s="105"/>
      <c r="J663" s="105"/>
      <c r="K663" s="89" t="s">
        <v>3309</v>
      </c>
      <c r="L663" s="387" t="s">
        <v>3310</v>
      </c>
      <c r="M663" s="92"/>
    </row>
    <row r="664">
      <c r="B664" s="387" t="s">
        <v>3256</v>
      </c>
      <c r="C664" s="388" t="str">
        <f>HYPERLINK("https://docs.google.com/document/d/1PsBsduQqk0xOnoE-Uv3wSd8YokIQmIQxrIEqWSUGYm8/edit?ts=5cd6c9be#heading=h.ercmbws15r85","Quizzing")</f>
        <v>Quizzing</v>
      </c>
      <c r="D664" s="389" t="s">
        <v>3311</v>
      </c>
      <c r="E664" s="430" t="s">
        <v>3312</v>
      </c>
      <c r="F664" s="105"/>
      <c r="I664" s="105"/>
      <c r="J664" s="105"/>
      <c r="K664" s="89" t="s">
        <v>3313</v>
      </c>
      <c r="L664" s="387" t="s">
        <v>3314</v>
      </c>
      <c r="M664" s="92"/>
    </row>
    <row r="665">
      <c r="B665" s="387" t="s">
        <v>3315</v>
      </c>
      <c r="C665" s="388" t="str">
        <f>HYPERLINK("https://docs.google.com/document/d/1PsBsduQqk0xOnoE-Uv3wSd8YokIQmIQxrIEqWSUGYm8/edit?ts=5cd6c9be#heading=h.1clv6ufoddsq","Dashboard for students")</f>
        <v>Dashboard for students</v>
      </c>
      <c r="D665" s="389" t="s">
        <v>3316</v>
      </c>
      <c r="E665" s="390" t="s">
        <v>3317</v>
      </c>
      <c r="F665" s="105"/>
      <c r="I665" s="105"/>
      <c r="J665" s="105"/>
      <c r="K665" s="89" t="s">
        <v>3318</v>
      </c>
      <c r="L665" s="387" t="s">
        <v>3319</v>
      </c>
      <c r="M665" s="92"/>
    </row>
    <row r="666">
      <c r="B666" s="387" t="s">
        <v>3320</v>
      </c>
      <c r="C666" s="388" t="str">
        <f>HYPERLINK("https://docs.google.com/document/d/1PsBsduQqk0xOnoE-Uv3wSd8YokIQmIQxrIEqWSUGYm8/edit?ts=5cd6c9be#heading=h.sqrqtg8gh15q","Visualization")</f>
        <v>Visualization</v>
      </c>
      <c r="D666" s="389" t="s">
        <v>3321</v>
      </c>
      <c r="E666" s="390" t="s">
        <v>3322</v>
      </c>
      <c r="F666" s="105"/>
      <c r="I666" s="105"/>
      <c r="J666" s="105"/>
      <c r="K666" s="89" t="s">
        <v>3323</v>
      </c>
      <c r="L666" s="387" t="s">
        <v>3324</v>
      </c>
      <c r="M666" s="92"/>
    </row>
    <row r="667">
      <c r="B667" s="387" t="s">
        <v>3325</v>
      </c>
      <c r="C667" s="388" t="str">
        <f>HYPERLINK("https://docs.google.com/document/d/1PsBsduQqk0xOnoE-Uv3wSd8YokIQmIQxrIEqWSUGYm8/edit?ts=5cd6c9be#heading=h.3eljh6mic8b3","Further progress on custom rubrics")</f>
        <v>Further progress on custom rubrics</v>
      </c>
      <c r="D667" s="389" t="s">
        <v>3326</v>
      </c>
      <c r="E667" s="430" t="s">
        <v>3327</v>
      </c>
      <c r="F667" s="63" t="s">
        <v>18</v>
      </c>
      <c r="I667" s="63"/>
      <c r="J667" s="63"/>
      <c r="K667" s="89" t="s">
        <v>3328</v>
      </c>
      <c r="L667" s="387" t="s">
        <v>3329</v>
      </c>
      <c r="M667" s="92"/>
    </row>
    <row r="668">
      <c r="B668" s="387" t="s">
        <v>3330</v>
      </c>
      <c r="C668" s="388" t="str">
        <f>HYPERLINK("https://docs.google.com/document/d/1PsBsduQqk0xOnoE-Uv3wSd8YokIQmIQxrIEqWSUGYm8/edit?ts=5cd6c9be#heading=h.n6qwyp9vh9nw","Improvement to last year's Code review project")</f>
        <v>Improvement to last year's Code review project</v>
      </c>
      <c r="D668" s="389" t="s">
        <v>3331</v>
      </c>
      <c r="E668" s="390" t="s">
        <v>3332</v>
      </c>
      <c r="F668" s="105"/>
      <c r="I668" s="105"/>
      <c r="J668" s="105"/>
      <c r="K668" s="89" t="s">
        <v>3333</v>
      </c>
      <c r="L668" s="387" t="s">
        <v>3334</v>
      </c>
      <c r="M668" s="92"/>
    </row>
    <row r="669">
      <c r="B669" s="387" t="s">
        <v>3335</v>
      </c>
      <c r="C669" s="388" t="str">
        <f>HYPERLINK("https://docs.google.com/document/d/1PsBsduQqk0xOnoE-Uv3wSd8YokIQmIQxrIEqWSUGYm8/edit?ts=5cd6c9be#heading=h.7cwm1vwqoqbq","Nonlinear scoring for teammate reviews")</f>
        <v>Nonlinear scoring for teammate reviews</v>
      </c>
      <c r="D669" s="389" t="s">
        <v>3336</v>
      </c>
      <c r="E669" s="390" t="s">
        <v>3337</v>
      </c>
      <c r="F669" s="105"/>
      <c r="I669" s="105"/>
      <c r="J669" s="105"/>
      <c r="K669" s="89" t="s">
        <v>3338</v>
      </c>
      <c r="L669" s="387" t="s">
        <v>3339</v>
      </c>
      <c r="M669" s="92"/>
    </row>
    <row r="670">
      <c r="B670" s="387" t="s">
        <v>3340</v>
      </c>
      <c r="C670" s="388" t="str">
        <f>HYPERLINK("https://docs.google.com/document/d/1PsBsduQqk0xOnoE-Uv3wSd8YokIQmIQxrIEqWSUGYm8/edit?ts=5cd6c9be#heading=h.jg73nrr68u90","Social bookmarking")</f>
        <v>Social bookmarking</v>
      </c>
      <c r="D670" s="389" t="s">
        <v>3341</v>
      </c>
      <c r="E670" s="390" t="s">
        <v>3342</v>
      </c>
      <c r="F670" s="105"/>
      <c r="I670" s="105"/>
      <c r="J670" s="105"/>
      <c r="K670" s="89" t="s">
        <v>3343</v>
      </c>
      <c r="L670" s="387" t="s">
        <v>3344</v>
      </c>
      <c r="M670" s="92"/>
    </row>
    <row r="671">
      <c r="B671" s="387" t="s">
        <v>3345</v>
      </c>
      <c r="C671" s="388" t="str">
        <f>HYPERLINK("https://docs.google.com/document/d/1PsBsduQqk0xOnoE-Uv3wSd8YokIQmIQxrIEqWSUGYm8/edit?ts=5cd6c9be#heading=h.ync4dzxjrb6c","Extensions to last year's Enhancements to wiki-textbook functionality")</f>
        <v>Extensions to last year's Enhancements to wiki-textbook functionality</v>
      </c>
      <c r="D671" s="389" t="s">
        <v>3346</v>
      </c>
      <c r="E671" s="390" t="s">
        <v>3347</v>
      </c>
      <c r="F671" s="105"/>
      <c r="I671" s="105"/>
      <c r="J671" s="105"/>
      <c r="K671" s="89" t="s">
        <v>3348</v>
      </c>
      <c r="L671" s="387" t="s">
        <v>3349</v>
      </c>
      <c r="M671" s="92"/>
    </row>
    <row r="672">
      <c r="B672" s="387" t="s">
        <v>3350</v>
      </c>
      <c r="C672" s="388" t="str">
        <f>HYPERLINK("https://docs.google.com/document/d/1PsBsduQqk0xOnoE-Uv3wSd8YokIQmIQxrIEqWSUGYm8/edit?ts=5cd6c9be#heading=h.o20jzazhv4v4","Lottery system for assignment signup sheets")</f>
        <v>Lottery system for assignment signup sheets</v>
      </c>
      <c r="D672" s="389" t="s">
        <v>3351</v>
      </c>
      <c r="E672" s="431" t="s">
        <v>3352</v>
      </c>
      <c r="F672" s="105"/>
      <c r="I672" s="105"/>
      <c r="J672" s="105"/>
      <c r="K672" s="89" t="s">
        <v>3353</v>
      </c>
      <c r="L672" s="387" t="s">
        <v>3354</v>
      </c>
      <c r="M672" s="92"/>
    </row>
    <row r="673">
      <c r="B673" s="387" t="s">
        <v>3355</v>
      </c>
      <c r="C673" s="388" t="str">
        <f>HYPERLINK("https://docs.google.com/document/d/1PsBsduQqk0xOnoE-Uv3wSd8YokIQmIQxrIEqWSUGYm8/edit?ts=5cd6c9be#heading=h.9uh4q94w7jq2","Better display for assignments")</f>
        <v>Better display for assignments</v>
      </c>
      <c r="D673" s="389" t="s">
        <v>3356</v>
      </c>
      <c r="E673" s="390" t="s">
        <v>3357</v>
      </c>
      <c r="F673" s="105"/>
      <c r="I673" s="105"/>
      <c r="J673" s="105"/>
      <c r="K673" s="89" t="s">
        <v>3358</v>
      </c>
      <c r="L673" s="387" t="s">
        <v>3359</v>
      </c>
      <c r="M673" s="92"/>
    </row>
    <row r="674">
      <c r="B674" s="387" t="s">
        <v>3360</v>
      </c>
      <c r="C674" s="388" t="str">
        <f>HYPERLINK("https://docs.google.com/document/d/1PsBsduQqk0xOnoE-Uv3wSd8YokIQmIQxrIEqWSUGYm8/edit?ts=5cd6c9be#heading=h.8k54624ca0an","Merge automated metareviewing code")</f>
        <v>Merge automated metareviewing code</v>
      </c>
      <c r="D674" s="389" t="s">
        <v>3361</v>
      </c>
      <c r="E674" s="436"/>
      <c r="F674" s="105"/>
      <c r="I674" s="105"/>
      <c r="J674" s="105"/>
      <c r="K674" s="92"/>
      <c r="L674" s="387" t="s">
        <v>3362</v>
      </c>
      <c r="M674" s="92"/>
    </row>
    <row r="675">
      <c r="B675" s="387" t="s">
        <v>3363</v>
      </c>
      <c r="C675" s="388" t="str">
        <f>HYPERLINK("https://docs.google.com/document/d/1PsBsduQqk0xOnoE-Uv3wSd8YokIQmIQxrIEqWSUGYm8/edit?ts=5cd6c9be#heading=h.12j5ekp5ewjr","Integration w/an LMS")</f>
        <v>Integration w/an LMS</v>
      </c>
      <c r="D675" s="389" t="s">
        <v>3364</v>
      </c>
      <c r="E675" s="436"/>
      <c r="F675" s="105"/>
      <c r="I675" s="105"/>
      <c r="J675" s="105"/>
      <c r="K675" s="89" t="s">
        <v>3365</v>
      </c>
      <c r="L675" s="387" t="s">
        <v>3366</v>
      </c>
      <c r="M675" s="92"/>
    </row>
    <row r="676">
      <c r="B676" s="387" t="s">
        <v>3367</v>
      </c>
      <c r="C676" s="388" t="str">
        <f>HYPERLINK("https://docs.google.com/document/d/1PsBsduQqk0xOnoE-Uv3wSd8YokIQmIQxrIEqWSUGYm8/edit?ts=5cd6c9be#heading=h.rkdjam19l1iwhttps://docs.google.com/document/d/1PsBsduQqk0xOnoE-Uv3wSd8YokIQmIQxrIEqWSUGYm8/edit?ts=5cd6c9be#heading=h.rkdjam19l1iw","Tabbed assignment creation (and a tabbing infrastructure for other screens)")</f>
        <v>Tabbed assignment creation (and a tabbing infrastructure for other screens)</v>
      </c>
      <c r="D676" s="389" t="s">
        <v>3368</v>
      </c>
      <c r="E676" s="390" t="s">
        <v>3369</v>
      </c>
      <c r="F676" s="63" t="s">
        <v>18</v>
      </c>
      <c r="I676" s="63"/>
      <c r="J676" s="63"/>
      <c r="K676" s="89" t="s">
        <v>3370</v>
      </c>
      <c r="L676" s="387" t="s">
        <v>3371</v>
      </c>
      <c r="M676" s="92"/>
    </row>
    <row r="677">
      <c r="B677" s="387" t="s">
        <v>3372</v>
      </c>
      <c r="C677" s="388" t="str">
        <f>HYPERLINK("https://docs.google.com/document/d/1PsBsduQqk0xOnoE-Uv3wSd8YokIQmIQxrIEqWSUGYm8/edit?ts=5cd6c9be#heading=h.sco87f6o8ogq","Date/time functionality")</f>
        <v>Date/time functionality</v>
      </c>
      <c r="D677" s="389" t="s">
        <v>3373</v>
      </c>
      <c r="E677" s="390" t="s">
        <v>3374</v>
      </c>
      <c r="F677" s="105"/>
      <c r="I677" s="105"/>
      <c r="J677" s="105"/>
      <c r="K677" s="89" t="s">
        <v>3375</v>
      </c>
      <c r="L677" s="387" t="s">
        <v>3376</v>
      </c>
      <c r="M677" s="92"/>
    </row>
    <row r="678">
      <c r="B678" s="387" t="s">
        <v>3377</v>
      </c>
      <c r="C678" s="388" t="str">
        <f>HYPERLINK("https://docs.google.com/document/d/1PsBsduQqk0xOnoE-Uv3wSd8YokIQmIQxrIEqWSUGYm8/edit?ts=5cd6c9be#heading=h.v6r9gvdp8e45","Credit for voluntary work")</f>
        <v>Credit for voluntary work</v>
      </c>
      <c r="D678" s="389" t="s">
        <v>3378</v>
      </c>
      <c r="E678" s="390" t="s">
        <v>3379</v>
      </c>
      <c r="F678" s="105"/>
      <c r="I678" s="105"/>
      <c r="J678" s="105"/>
      <c r="K678" s="89" t="s">
        <v>3380</v>
      </c>
      <c r="L678" s="387" t="s">
        <v>3381</v>
      </c>
      <c r="M678" s="92"/>
    </row>
    <row r="679">
      <c r="B679" s="387" t="s">
        <v>3382</v>
      </c>
      <c r="C679" s="388" t="str">
        <f>HYPERLINK("https://docs.google.com/document/d/1PsBsduQqk0xOnoE-Uv3wSd8YokIQmIQxrIEqWSUGYm8/edit?ts=5cd6c9be#heading=h.rq4h3fkeo7pi","Workflow management and event list")</f>
        <v>Workflow management and event list</v>
      </c>
      <c r="D679" s="389" t="s">
        <v>3383</v>
      </c>
      <c r="E679" s="390" t="s">
        <v>3384</v>
      </c>
      <c r="F679" s="105"/>
      <c r="I679" s="105"/>
      <c r="J679" s="105"/>
      <c r="K679" s="89" t="s">
        <v>3385</v>
      </c>
      <c r="L679" s="387" t="s">
        <v>3386</v>
      </c>
      <c r="M679" s="92"/>
    </row>
    <row r="680">
      <c r="A680" s="437" t="s">
        <v>3387</v>
      </c>
      <c r="B680" s="341" t="s">
        <v>3388</v>
      </c>
      <c r="C680" s="342" t="str">
        <f>HYPERLINK("https://docs.google.com/document/d/1eN7mi6rEN-Ou6OVO5oD5CDzX6zvuC1AVzADvtzhYits/edit?ts=5cd6c9d2#","Submitting Google docs to Expertiza")</f>
        <v>Submitting Google docs to Expertiza</v>
      </c>
      <c r="D680" s="343" t="s">
        <v>3389</v>
      </c>
      <c r="E680" s="344" t="s">
        <v>3390</v>
      </c>
      <c r="F680" s="105"/>
      <c r="I680" s="105"/>
      <c r="J680" s="105"/>
      <c r="K680" s="92"/>
      <c r="L680" s="341" t="s">
        <v>3391</v>
      </c>
      <c r="M680" s="92"/>
    </row>
    <row r="681">
      <c r="B681" s="341" t="s">
        <v>3392</v>
      </c>
      <c r="C681" s="342" t="str">
        <f>HYPERLINK("https://docs.google.com/document/d/1eN7mi6rEN-Ou6OVO5oD5CDzX6zvuC1AVzADvtzhYits/edit?ts=5cd6c9d2#","Penalties (New Functionality)")</f>
        <v>Penalties (New Functionality)</v>
      </c>
      <c r="D681" s="343" t="s">
        <v>3393</v>
      </c>
      <c r="E681" s="344" t="s">
        <v>3394</v>
      </c>
      <c r="F681" s="105"/>
      <c r="I681" s="105"/>
      <c r="J681" s="105"/>
      <c r="K681" s="92"/>
      <c r="L681" s="341" t="s">
        <v>3395</v>
      </c>
      <c r="M681" s="92"/>
    </row>
    <row r="682">
      <c r="B682" s="341" t="s">
        <v>3396</v>
      </c>
      <c r="C682" s="342" t="str">
        <f>HYPERLINK("https://docs.google.com/document/d/1eN7mi6rEN-Ou6OVO5oD5CDzX6zvuC1AVzADvtzhYits/edit?ts=5cd6c9d2#","Self, manager, role-based reviewing.")</f>
        <v>Self, manager, role-based reviewing.</v>
      </c>
      <c r="D682" s="343" t="s">
        <v>3397</v>
      </c>
      <c r="E682" s="344" t="s">
        <v>3398</v>
      </c>
      <c r="F682" s="105"/>
      <c r="I682" s="105"/>
      <c r="J682" s="105"/>
      <c r="K682" s="92"/>
      <c r="L682" s="341" t="s">
        <v>3399</v>
      </c>
      <c r="M682" s="92"/>
    </row>
    <row r="683">
      <c r="B683" s="341" t="s">
        <v>3400</v>
      </c>
      <c r="C683" s="342" t="str">
        <f>HYPERLINK("https://docs.google.com/document/d/1eN7mi6rEN-Ou6OVO5oD5CDzX6zvuC1AVzADvtzhYits/edit?ts=5cd6c9d2#","Improvements to custom rubrics")</f>
        <v>Improvements to custom rubrics</v>
      </c>
      <c r="D683" s="343" t="s">
        <v>3401</v>
      </c>
      <c r="E683" s="344" t="s">
        <v>3402</v>
      </c>
      <c r="F683" s="105"/>
      <c r="I683" s="105"/>
      <c r="J683" s="105"/>
      <c r="K683" s="92"/>
      <c r="L683" s="341" t="s">
        <v>3403</v>
      </c>
      <c r="M683" s="92"/>
    </row>
    <row r="684">
      <c r="B684" s="341" t="s">
        <v>3404</v>
      </c>
      <c r="C684" s="342" t="str">
        <f>HYPERLINK("https://docs.google.com/document/d/1eN7mi6rEN-Ou6OVO5oD5CDzX6zvuC1AVzADvtzhYits/edit?ts=5cd6c9d2#","Integrate the score cache &amp; build appropriate db indexes to greatly speed up score reports")</f>
        <v>Integrate the score cache &amp; build appropriate db indexes to greatly speed up score reports</v>
      </c>
      <c r="D684" s="343" t="s">
        <v>3405</v>
      </c>
      <c r="E684" s="344" t="s">
        <v>3406</v>
      </c>
      <c r="F684" s="105"/>
      <c r="I684" s="105"/>
      <c r="J684" s="105"/>
      <c r="K684" s="92"/>
      <c r="L684" s="341" t="s">
        <v>3407</v>
      </c>
      <c r="M684" s="92"/>
    </row>
    <row r="685">
      <c r="B685" s="341" t="s">
        <v>3408</v>
      </c>
      <c r="C685" s="342" t="str">
        <f>HYPERLINK("https://docs.google.com/document/d/1eN7mi6rEN-Ou6OVO5oD5CDzX6zvuC1AVzADvtzhYits/edit?ts=5cd6c9d2#","Updating invite teams functionality to prevent two teams from being formed with the same set of students")</f>
        <v>Updating invite teams functionality to prevent two teams from being formed with the same set of students</v>
      </c>
      <c r="D685" s="343" t="s">
        <v>3409</v>
      </c>
      <c r="E685" s="344" t="s">
        <v>3410</v>
      </c>
      <c r="F685" s="63" t="s">
        <v>18</v>
      </c>
      <c r="I685" s="63"/>
      <c r="J685" s="63"/>
      <c r="K685" s="92"/>
      <c r="L685" s="341" t="s">
        <v>3411</v>
      </c>
      <c r="M685" s="92"/>
    </row>
    <row r="686">
      <c r="B686" s="341" t="s">
        <v>3412</v>
      </c>
      <c r="C686" s="342" t="str">
        <f>HYPERLINK("https://docs.google.com/document/d/1eN7mi6rEN-Ou6OVO5oD5CDzX6zvuC1AVzADvtzhYits/edit?ts=5cd6c9d2#","Testing - Functional tests for the participants controller")</f>
        <v>Testing - Functional tests for the participants controller</v>
      </c>
      <c r="D686" s="343" t="s">
        <v>3413</v>
      </c>
      <c r="E686" s="345" t="s">
        <v>3414</v>
      </c>
      <c r="F686" s="105"/>
      <c r="I686" s="105"/>
      <c r="J686" s="105"/>
      <c r="K686" s="92"/>
      <c r="L686" s="341" t="s">
        <v>3415</v>
      </c>
      <c r="M686" s="92"/>
    </row>
    <row r="687">
      <c r="B687" s="341" t="s">
        <v>3416</v>
      </c>
      <c r="C687" s="342" t="str">
        <f>HYPERLINK("https://docs.google.com/document/d/1eN7mi6rEN-Ou6OVO5oD5CDzX6zvuC1AVzADvtzhYits/edit?ts=5cd6c9d2#","Testing - Miscellaneous helper classes")</f>
        <v>Testing - Miscellaneous helper classes</v>
      </c>
      <c r="D687" s="343" t="s">
        <v>3417</v>
      </c>
      <c r="E687" s="345" t="s">
        <v>3418</v>
      </c>
      <c r="F687" s="105"/>
      <c r="I687" s="105"/>
      <c r="J687" s="105"/>
      <c r="K687" s="92"/>
      <c r="L687" s="341" t="s">
        <v>3419</v>
      </c>
      <c r="M687" s="92"/>
    </row>
    <row r="688">
      <c r="B688" s="341" t="s">
        <v>3420</v>
      </c>
      <c r="C688" s="342" t="str">
        <f>HYPERLINK("https://docs.google.com/document/d/1eN7mi6rEN-Ou6OVO5oD5CDzX6zvuC1AVzADvtzhYits/edit?ts=5cd6c9d2#","Refactoring - Miscellaneous helper classes")</f>
        <v>Refactoring - Miscellaneous helper classes</v>
      </c>
      <c r="D688" s="343" t="s">
        <v>3421</v>
      </c>
      <c r="E688" s="344" t="s">
        <v>3422</v>
      </c>
      <c r="F688" s="105"/>
      <c r="I688" s="105"/>
      <c r="J688" s="105"/>
      <c r="K688" s="92"/>
      <c r="L688" s="341" t="s">
        <v>3423</v>
      </c>
      <c r="M688" s="92"/>
    </row>
    <row r="689">
      <c r="B689" s="341" t="s">
        <v>3424</v>
      </c>
      <c r="C689" s="342" t="str">
        <f>HYPERLINK("https://docs.google.com/document/d/1eN7mi6rEN-Ou6OVO5oD5CDzX6zvuC1AVzADvtzhYits/edit?ts=5cd6c9d2#","Testing (misc files)")</f>
        <v>Testing (misc files)</v>
      </c>
      <c r="D689" s="343" t="s">
        <v>3425</v>
      </c>
      <c r="E689" s="344" t="s">
        <v>3426</v>
      </c>
      <c r="F689" s="105"/>
      <c r="I689" s="105"/>
      <c r="J689" s="105"/>
      <c r="K689" s="92"/>
      <c r="L689" s="341" t="s">
        <v>3427</v>
      </c>
      <c r="M689" s="92"/>
    </row>
    <row r="690">
      <c r="B690" s="341" t="s">
        <v>3428</v>
      </c>
      <c r="C690" s="342" t="str">
        <f>HYPERLINK("https://docs.google.com/document/d/1eN7mi6rEN-Ou6OVO5oD5CDzX6zvuC1AVzADvtzhYits/edit?ts=5cd6c9d2#","Refactoring (misc files)")</f>
        <v>Refactoring (misc files)</v>
      </c>
      <c r="D690" s="343" t="s">
        <v>3429</v>
      </c>
      <c r="E690" s="344" t="s">
        <v>3430</v>
      </c>
      <c r="F690" s="105"/>
      <c r="I690" s="105"/>
      <c r="J690" s="105"/>
      <c r="K690" s="92"/>
      <c r="L690" s="341" t="s">
        <v>3431</v>
      </c>
      <c r="M690" s="92"/>
    </row>
    <row r="691">
      <c r="B691" s="341" t="s">
        <v>3432</v>
      </c>
      <c r="C691" s="342" t="str">
        <f>HYPERLINK("https://docs.google.com/document/d/1eN7mi6rEN-Ou6OVO5oD5CDzX6zvuC1AVzADvtzhYits/edit?ts=5cd6c9d2#","Testing - dynamic_review_mapping")</f>
        <v>Testing - dynamic_review_mapping</v>
      </c>
      <c r="D691" s="343" t="s">
        <v>3433</v>
      </c>
      <c r="E691" s="344" t="s">
        <v>3434</v>
      </c>
      <c r="F691" s="105"/>
      <c r="I691" s="105"/>
      <c r="J691" s="105"/>
      <c r="K691" s="92"/>
      <c r="L691" s="341"/>
      <c r="M691" s="92"/>
    </row>
    <row r="692">
      <c r="B692" s="341" t="s">
        <v>3435</v>
      </c>
      <c r="C692" s="342" t="str">
        <f>HYPERLINK("https://docs.google.com/document/d/1eN7mi6rEN-Ou6OVO5oD5CDzX6zvuC1AVzADvtzhYits/edit?ts=5cd6c9d2#","Refactoring - dynamic_review_mapping")</f>
        <v>Refactoring - dynamic_review_mapping</v>
      </c>
      <c r="D692" s="343" t="s">
        <v>3436</v>
      </c>
      <c r="E692" s="344" t="s">
        <v>3437</v>
      </c>
      <c r="F692" s="105"/>
      <c r="I692" s="105"/>
      <c r="J692" s="105"/>
      <c r="K692" s="92"/>
      <c r="L692" s="341" t="s">
        <v>3438</v>
      </c>
      <c r="M692" s="92"/>
    </row>
    <row r="693">
      <c r="B693" s="341" t="s">
        <v>3439</v>
      </c>
      <c r="C693" s="342" t="str">
        <f>HYPERLINK("https://docs.google.com/document/d/1eN7mi6rEN-Ou6OVO5oD5CDzX6zvuC1AVzADvtzhYits/edit?ts=5cd6c9d2#","Refactoring and Testing (misc classes)")</f>
        <v>Refactoring and Testing (misc classes)</v>
      </c>
      <c r="D693" s="343" t="s">
        <v>3440</v>
      </c>
      <c r="E693" s="344" t="s">
        <v>3441</v>
      </c>
      <c r="F693" s="105"/>
      <c r="I693" s="105"/>
      <c r="J693" s="105"/>
      <c r="K693" s="92"/>
      <c r="L693" s="341" t="s">
        <v>3442</v>
      </c>
      <c r="M693" s="92"/>
    </row>
    <row r="694">
      <c r="B694" s="341" t="s">
        <v>3443</v>
      </c>
      <c r="C694" s="342" t="str">
        <f>HYPERLINK("https://docs.google.com/document/d/1eN7mi6rEN-Ou6OVO5oD5CDzX6zvuC1AVzADvtzhYits/edit?ts=5cd6c9d2#","Refactoring and Testing - leaderboard")</f>
        <v>Refactoring and Testing - leaderboard</v>
      </c>
      <c r="D694" s="343" t="s">
        <v>3444</v>
      </c>
      <c r="E694" s="344" t="s">
        <v>3445</v>
      </c>
      <c r="F694" s="105"/>
      <c r="I694" s="105"/>
      <c r="J694" s="105"/>
      <c r="K694" s="92"/>
      <c r="L694" s="341" t="s">
        <v>3446</v>
      </c>
      <c r="M694" s="92"/>
    </row>
    <row r="695">
      <c r="B695" s="341" t="s">
        <v>3447</v>
      </c>
      <c r="C695" s="342" t="str">
        <f>HYPERLINK("https://docs.google.com/document/d/1eN7mi6rEN-Ou6OVO5oD5CDzX6zvuC1AVzADvtzhYits/edit?ts=5cd6c9d2#","Refactoring and Testing - wiki")</f>
        <v>Refactoring and Testing - wiki</v>
      </c>
      <c r="D695" s="343" t="s">
        <v>3448</v>
      </c>
      <c r="E695" s="345" t="s">
        <v>3449</v>
      </c>
      <c r="F695" s="105"/>
      <c r="I695" s="105"/>
      <c r="J695" s="105"/>
      <c r="K695" s="92"/>
      <c r="L695" s="341" t="s">
        <v>3450</v>
      </c>
      <c r="M695" s="92"/>
    </row>
    <row r="696">
      <c r="B696" s="341" t="s">
        <v>3451</v>
      </c>
      <c r="C696" s="342" t="str">
        <f>HYPERLINK("https://docs.google.com/document/d/1eN7mi6rEN-Ou6OVO5oD5CDzX6zvuC1AVzADvtzhYits/edit?ts=5cd6c9d2#","Refactoring and Testing - grades")</f>
        <v>Refactoring and Testing - grades</v>
      </c>
      <c r="D696" s="343" t="s">
        <v>3452</v>
      </c>
      <c r="E696" s="344" t="s">
        <v>3453</v>
      </c>
      <c r="F696" s="105"/>
      <c r="I696" s="105"/>
      <c r="J696" s="105"/>
      <c r="K696" s="92"/>
      <c r="L696" s="341" t="s">
        <v>3454</v>
      </c>
      <c r="M696" s="92"/>
    </row>
    <row r="697">
      <c r="B697" s="341" t="s">
        <v>3455</v>
      </c>
      <c r="C697" s="342" t="str">
        <f>HYPERLINK("https://docs.google.com/document/d/1eN7mi6rEN-Ou6OVO5oD5CDzX6zvuC1AVzADvtzhYits/edit?ts=5cd6c9d2#","Testing - student_review_controller and student_task_controller")</f>
        <v>Testing - student_review_controller and student_task_controller</v>
      </c>
      <c r="D697" s="343" t="s">
        <v>3456</v>
      </c>
      <c r="E697" s="344" t="s">
        <v>3457</v>
      </c>
      <c r="F697" s="105"/>
      <c r="I697" s="105"/>
      <c r="J697" s="105"/>
      <c r="K697" s="92"/>
      <c r="L697" s="341" t="s">
        <v>3458</v>
      </c>
      <c r="M697" s="92"/>
    </row>
    <row r="698">
      <c r="B698" s="341" t="s">
        <v>3459</v>
      </c>
      <c r="C698" s="342" t="str">
        <f>HYPERLINK("https://docs.google.com/document/d/1eN7mi6rEN-Ou6OVO5oD5CDzX6zvuC1AVzADvtzhYits/edit?ts=5cd6c9d2#","Refactoring - student_review_controller and student_task_controller ")</f>
        <v>Refactoring - student_review_controller and student_task_controller </v>
      </c>
      <c r="D698" s="343" t="s">
        <v>3460</v>
      </c>
      <c r="E698" s="344" t="s">
        <v>3461</v>
      </c>
      <c r="F698" s="105"/>
      <c r="I698" s="105"/>
      <c r="J698" s="105"/>
      <c r="K698" s="92"/>
      <c r="L698" s="341" t="s">
        <v>3462</v>
      </c>
      <c r="M698" s="92"/>
    </row>
    <row r="699">
      <c r="B699" s="341" t="s">
        <v>3262</v>
      </c>
      <c r="C699" s="342" t="str">
        <f>HYPERLINK("https://docs.google.com/document/d/1eN7mi6rEN-Ou6OVO5oD5CDzX6zvuC1AVzADvtzhYits/edit?ts=5cd6c9d2#","Testing - sign_up_sheet_controller")</f>
        <v>Testing - sign_up_sheet_controller</v>
      </c>
      <c r="D699" s="343" t="s">
        <v>3463</v>
      </c>
      <c r="E699" s="344" t="s">
        <v>3464</v>
      </c>
      <c r="F699" s="105"/>
      <c r="I699" s="105"/>
      <c r="J699" s="105"/>
      <c r="K699" s="92"/>
      <c r="L699" s="341" t="s">
        <v>3465</v>
      </c>
      <c r="M699" s="92"/>
    </row>
    <row r="700">
      <c r="B700" s="341" t="s">
        <v>3466</v>
      </c>
      <c r="C700" s="342" t="str">
        <f>HYPERLINK("https://docs.google.com/document/d/1eN7mi6rEN-Ou6OVO5oD5CDzX6zvuC1AVzADvtzhYits/edit?ts=5cd6c9d2#","Refactoring - sign_up_sheet_controller")</f>
        <v>Refactoring - sign_up_sheet_controller</v>
      </c>
      <c r="D700" s="343" t="s">
        <v>3467</v>
      </c>
      <c r="E700" s="345" t="s">
        <v>3468</v>
      </c>
      <c r="F700" s="105"/>
      <c r="I700" s="105"/>
      <c r="J700" s="105"/>
      <c r="K700" s="92"/>
      <c r="L700" s="341" t="s">
        <v>3469</v>
      </c>
      <c r="M700" s="92"/>
    </row>
    <row r="701">
      <c r="B701" s="341" t="s">
        <v>3470</v>
      </c>
      <c r="C701" s="342" t="str">
        <f>HYPERLINK("https://docs.google.com/document/d/1eN7mi6rEN-Ou6OVO5oD5CDzX6zvuC1AVzADvtzhYits/edit?ts=5cd6c9d2#","Refactoring and Testing - signed_up_user and sign_up_topic")</f>
        <v>Refactoring and Testing - signed_up_user and sign_up_topic</v>
      </c>
      <c r="D701" s="343" t="s">
        <v>3471</v>
      </c>
      <c r="E701" s="344" t="s">
        <v>3472</v>
      </c>
      <c r="F701" s="105"/>
      <c r="I701" s="105"/>
      <c r="J701" s="105"/>
      <c r="K701" s="92"/>
      <c r="L701" s="341" t="s">
        <v>3473</v>
      </c>
      <c r="M701" s="92"/>
    </row>
    <row r="702">
      <c r="B702" s="341" t="s">
        <v>3474</v>
      </c>
      <c r="C702" s="342" t="str">
        <f>HYPERLINK("https://docs.google.com/document/d/1eN7mi6rEN-Ou6OVO5oD5CDzX6zvuC1AVzADvtzhYits/edit?ts=5cd6c9d2#","Refactoring and Testing - score")</f>
        <v>Refactoring and Testing - score</v>
      </c>
      <c r="D702" s="343" t="s">
        <v>3475</v>
      </c>
      <c r="E702" s="344" t="s">
        <v>3476</v>
      </c>
      <c r="F702" s="105"/>
      <c r="I702" s="105"/>
      <c r="J702" s="105"/>
      <c r="K702" s="92"/>
      <c r="L702" s="341" t="s">
        <v>3477</v>
      </c>
      <c r="M702" s="92"/>
    </row>
    <row r="703">
      <c r="B703" s="341" t="s">
        <v>3478</v>
      </c>
      <c r="C703" s="342" t="str">
        <f>HYPERLINK("https://docs.google.com/document/d/1eN7mi6rEN-Ou6OVO5oD5CDzX6zvuC1AVzADvtzhYits/edit?ts=5cd6c9d2#","Testing - users")</f>
        <v>Testing - users</v>
      </c>
      <c r="D703" s="343" t="s">
        <v>3479</v>
      </c>
      <c r="E703" s="345" t="s">
        <v>3480</v>
      </c>
      <c r="F703" s="105"/>
      <c r="I703" s="105"/>
      <c r="J703" s="105"/>
      <c r="K703" s="92"/>
      <c r="L703" s="341" t="s">
        <v>3481</v>
      </c>
      <c r="M703" s="92"/>
    </row>
    <row r="704">
      <c r="B704" s="341" t="s">
        <v>3482</v>
      </c>
      <c r="C704" s="342" t="str">
        <f>HYPERLINK("https://docs.google.com/document/d/1eN7mi6rEN-Ou6OVO5oD5CDzX6zvuC1AVzADvtzhYits/edit?ts=5cd6c9d2#","Refactoring - users")</f>
        <v>Refactoring - users</v>
      </c>
      <c r="D704" s="343" t="s">
        <v>3483</v>
      </c>
      <c r="E704" s="344" t="s">
        <v>3484</v>
      </c>
      <c r="F704" s="105"/>
      <c r="I704" s="105"/>
      <c r="J704" s="105"/>
      <c r="K704" s="92"/>
      <c r="L704" s="341" t="s">
        <v>3485</v>
      </c>
      <c r="M704" s="92"/>
    </row>
    <row r="705">
      <c r="B705" s="341" t="s">
        <v>3264</v>
      </c>
      <c r="C705" s="342" t="str">
        <f>HYPERLINK("https://docs.google.com/document/d/1eN7mi6rEN-Ou6OVO5oD5CDzX6zvuC1AVzADvtzhYits/edit?ts=5cd6c9d2#","Refactoring and Testing - course")</f>
        <v>Refactoring and Testing - course</v>
      </c>
      <c r="D705" s="343" t="s">
        <v>3486</v>
      </c>
      <c r="E705" s="344" t="s">
        <v>3487</v>
      </c>
      <c r="F705" s="63" t="s">
        <v>18</v>
      </c>
      <c r="I705" s="63"/>
      <c r="J705" s="63"/>
      <c r="K705" s="92"/>
      <c r="L705" s="341" t="s">
        <v>3488</v>
      </c>
      <c r="M705" s="92"/>
    </row>
    <row r="706">
      <c r="B706" s="341" t="s">
        <v>3489</v>
      </c>
      <c r="C706" s="342" t="str">
        <f>HYPERLINK("https://docs.google.com/document/d/1eN7mi6rEN-Ou6OVO5oD5CDzX6zvuC1AVzADvtzhYits/edit?ts=5cd6c9d2#","Testing - assignment")</f>
        <v>Testing - assignment</v>
      </c>
      <c r="D706" s="343" t="s">
        <v>3490</v>
      </c>
      <c r="E706" s="344" t="s">
        <v>3491</v>
      </c>
      <c r="F706" s="105"/>
      <c r="I706" s="105"/>
      <c r="J706" s="105"/>
      <c r="K706" s="92"/>
      <c r="L706" s="341" t="s">
        <v>3492</v>
      </c>
      <c r="M706" s="92"/>
    </row>
    <row r="707">
      <c r="B707" s="341" t="s">
        <v>3493</v>
      </c>
      <c r="C707" s="342" t="str">
        <f>HYPERLINK("https://docs.google.com/document/d/1eN7mi6rEN-Ou6OVO5oD5CDzX6zvuC1AVzADvtzhYits/edit?ts=5cd6c9d2#","Refactoring - assignment")</f>
        <v>Refactoring - assignment</v>
      </c>
      <c r="D707" s="343" t="s">
        <v>3494</v>
      </c>
      <c r="E707" s="344" t="s">
        <v>3495</v>
      </c>
      <c r="F707" s="105"/>
      <c r="I707" s="105"/>
      <c r="J707" s="105"/>
      <c r="K707" s="92"/>
      <c r="L707" s="341" t="s">
        <v>3496</v>
      </c>
      <c r="M707" s="92"/>
    </row>
    <row r="708">
      <c r="B708" s="341" t="s">
        <v>3497</v>
      </c>
      <c r="C708" s="342" t="str">
        <f>HYPERLINK("https://docs.google.com/document/d/1eN7mi6rEN-Ou6OVO5oD5CDzX6zvuC1AVzADvtzhYits/edit?ts=5cd6c9d2#","Refactoring and Testing - 360 degree assessment")</f>
        <v>Refactoring and Testing - 360 degree assessment</v>
      </c>
      <c r="D708" s="438" t="s">
        <v>3498</v>
      </c>
      <c r="E708" s="345" t="s">
        <v>3499</v>
      </c>
      <c r="F708" s="105"/>
      <c r="I708" s="105"/>
      <c r="J708" s="105"/>
      <c r="K708" s="92"/>
      <c r="L708" s="341" t="s">
        <v>3500</v>
      </c>
      <c r="M708" s="92"/>
    </row>
    <row r="709">
      <c r="B709" s="439" t="s">
        <v>3267</v>
      </c>
      <c r="C709" s="440" t="str">
        <f>HYPERLINK("https://docs.google.com/document/d/1eN7mi6rEN-Ou6OVO5oD5CDzX6zvuC1AVzADvtzhYits/edit?ts=5cd6c9d2#","Testing - questionnaire")</f>
        <v>Testing - questionnaire</v>
      </c>
      <c r="D709" s="441" t="s">
        <v>3501</v>
      </c>
      <c r="E709" s="442"/>
      <c r="F709" s="105"/>
      <c r="I709" s="105"/>
      <c r="J709" s="105"/>
      <c r="K709" s="92"/>
      <c r="L709" s="341" t="s">
        <v>2736</v>
      </c>
      <c r="M709" s="92"/>
    </row>
    <row r="710">
      <c r="B710" s="341" t="s">
        <v>3270</v>
      </c>
      <c r="C710" s="342" t="str">
        <f>HYPERLINK("https://docs.google.com/document/d/1eN7mi6rEN-Ou6OVO5oD5CDzX6zvuC1AVzADvtzhYits/edit?ts=5cd6c9d2#","Refactoring - questionnaire")</f>
        <v>Refactoring - questionnaire</v>
      </c>
      <c r="D710" s="343" t="s">
        <v>3502</v>
      </c>
      <c r="E710" s="344" t="s">
        <v>3503</v>
      </c>
      <c r="F710" s="63" t="s">
        <v>18</v>
      </c>
      <c r="I710" s="63"/>
      <c r="J710" s="63"/>
      <c r="K710" s="92"/>
      <c r="L710" s="341" t="s">
        <v>3504</v>
      </c>
      <c r="M710" s="92"/>
    </row>
    <row r="711">
      <c r="B711" s="341" t="s">
        <v>3505</v>
      </c>
      <c r="C711" s="342" t="str">
        <f>HYPERLINK("https://docs.google.com/document/d/1eN7mi6rEN-Ou6OVO5oD5CDzX6zvuC1AVzADvtzhYits/edit?ts=5cd6c9d2#","Testing - response_map")</f>
        <v>Testing - response_map</v>
      </c>
      <c r="D711" s="343" t="s">
        <v>3506</v>
      </c>
      <c r="E711" s="345" t="s">
        <v>3507</v>
      </c>
      <c r="F711" s="105"/>
      <c r="I711" s="105"/>
      <c r="J711" s="105"/>
      <c r="K711" s="92"/>
      <c r="L711" s="341" t="s">
        <v>3508</v>
      </c>
      <c r="M711" s="92"/>
    </row>
    <row r="712">
      <c r="B712" s="341" t="s">
        <v>3509</v>
      </c>
      <c r="C712" s="342" t="str">
        <f>HYPERLINK("https://docs.google.com/document/d/1eN7mi6rEN-Ou6OVO5oD5CDzX6zvuC1AVzADvtzhYits/edit?ts=5cd6c9d2#","Refactoring - response_map")</f>
        <v>Refactoring - response_map</v>
      </c>
      <c r="D712" s="343" t="s">
        <v>3510</v>
      </c>
      <c r="E712" s="443" t="s">
        <v>3511</v>
      </c>
      <c r="F712" s="105"/>
      <c r="I712" s="105"/>
      <c r="J712" s="105"/>
      <c r="K712" s="92"/>
      <c r="L712" s="341" t="s">
        <v>3512</v>
      </c>
      <c r="M712" s="92"/>
    </row>
    <row r="713">
      <c r="B713" s="341" t="s">
        <v>3513</v>
      </c>
      <c r="C713" s="342" t="str">
        <f>HYPERLINK("https://docs.google.com/document/d/1eN7mi6rEN-Ou6OVO5oD5CDzX6zvuC1AVzADvtzhYits/edit?ts=5cd6c9d2#","Testing - response")</f>
        <v>Testing - response</v>
      </c>
      <c r="D713" s="343" t="s">
        <v>3514</v>
      </c>
      <c r="E713" s="344" t="s">
        <v>3515</v>
      </c>
      <c r="F713" s="105"/>
      <c r="I713" s="105"/>
      <c r="J713" s="105"/>
      <c r="K713" s="92"/>
      <c r="L713" s="341" t="s">
        <v>3516</v>
      </c>
      <c r="M713" s="92"/>
    </row>
    <row r="714">
      <c r="B714" s="341" t="s">
        <v>3517</v>
      </c>
      <c r="C714" s="342" t="str">
        <f>HYPERLINK("https://docs.google.com/document/d/1eN7mi6rEN-Ou6OVO5oD5CDzX6zvuC1AVzADvtzhYits/edit?ts=5cd6c9d2#","Refactoring - response")</f>
        <v>Refactoring - response</v>
      </c>
      <c r="D714" s="444" t="s">
        <v>3518</v>
      </c>
      <c r="E714" s="344" t="s">
        <v>3519</v>
      </c>
      <c r="F714" s="105"/>
      <c r="I714" s="105"/>
      <c r="J714" s="105"/>
      <c r="K714" s="92"/>
      <c r="L714" s="341" t="s">
        <v>3520</v>
      </c>
      <c r="M714" s="92"/>
    </row>
    <row r="715">
      <c r="B715" s="341" t="s">
        <v>3521</v>
      </c>
      <c r="C715" s="342" t="str">
        <f>HYPERLINK("https://docs.google.com/document/d/1eN7mi6rEN-Ou6OVO5oD5CDzX6zvuC1AVzADvtzhYits/edit?ts=5cd6c9d2#","Refactoring and Testing - Participant")</f>
        <v>Refactoring and Testing - Participant</v>
      </c>
      <c r="D715" s="444" t="s">
        <v>3522</v>
      </c>
      <c r="E715" s="344" t="s">
        <v>3523</v>
      </c>
      <c r="F715" s="105"/>
      <c r="I715" s="105"/>
      <c r="J715" s="105"/>
      <c r="K715" s="92"/>
      <c r="L715" s="341" t="s">
        <v>3524</v>
      </c>
      <c r="M715" s="92"/>
    </row>
    <row r="716">
      <c r="B716" s="445" t="s">
        <v>3525</v>
      </c>
      <c r="C716" s="342" t="str">
        <f>HYPERLINK("https://docs.google.com/document/d/1eN7mi6rEN-Ou6OVO5oD5CDzX6zvuC1AVzADvtzhYits/edit?ts=5cd6c9d2#","Refactoring and Testing - Team")</f>
        <v>Refactoring and Testing - Team</v>
      </c>
      <c r="D716" s="343" t="s">
        <v>3526</v>
      </c>
      <c r="E716" s="344" t="s">
        <v>3527</v>
      </c>
      <c r="F716" s="105"/>
      <c r="I716" s="105"/>
      <c r="J716" s="105"/>
      <c r="K716" s="92"/>
      <c r="L716" s="341" t="s">
        <v>3528</v>
      </c>
      <c r="M716" s="92"/>
    </row>
    <row r="717">
      <c r="A717" s="203" t="s">
        <v>3529</v>
      </c>
      <c r="B717" s="204" t="s">
        <v>3530</v>
      </c>
      <c r="C717" s="205" t="str">
        <f>HYPERLINK("https://docs.google.com/document/d/1-KS-OFQ1BihT5SWZsjQqNu6xB6JY3OuIyQbMhROYacg/edit?ts=5cd87c45#heading=h.54yst6reox2i","Integrate two projects")</f>
        <v>Integrate two projects</v>
      </c>
      <c r="D717" s="446"/>
      <c r="E717" s="447"/>
      <c r="F717" s="105"/>
      <c r="I717" s="105"/>
      <c r="J717" s="105"/>
      <c r="K717" s="448"/>
      <c r="L717" s="449"/>
      <c r="M717" s="92"/>
    </row>
    <row r="718">
      <c r="B718" s="204" t="s">
        <v>3531</v>
      </c>
      <c r="C718" s="205" t="str">
        <f>HYPERLINK("https://docs.google.com/document/d/1-KS-OFQ1BihT5SWZsjQqNu6xB6JY3OuIyQbMhROYacg/edit?ts=5cd87c45#heading=h.eycl1sxg8ptb","Social bookmarking")</f>
        <v>Social bookmarking</v>
      </c>
      <c r="D718" s="449"/>
      <c r="E718" s="447"/>
      <c r="F718" s="105"/>
      <c r="I718" s="105"/>
      <c r="J718" s="105"/>
      <c r="K718" s="448"/>
      <c r="L718" s="449"/>
      <c r="M718" s="92"/>
    </row>
    <row r="719">
      <c r="B719" s="204" t="s">
        <v>3532</v>
      </c>
      <c r="C719" s="205" t="str">
        <f>HYPERLINK("https://docs.google.com/document/d/1-KS-OFQ1BihT5SWZsjQqNu6xB6JY3OuIyQbMhROYacg/edit?ts=5cd87c45#heading=h.x1gp8yz07xb5","Submitting Google docs to Expertiza")</f>
        <v>Submitting Google docs to Expertiza</v>
      </c>
      <c r="D719" s="446"/>
      <c r="E719" s="450" t="s">
        <v>3533</v>
      </c>
      <c r="F719" s="105"/>
      <c r="I719" s="105"/>
      <c r="J719" s="105"/>
      <c r="K719" s="448"/>
      <c r="L719" s="449"/>
      <c r="M719" s="92"/>
    </row>
    <row r="720">
      <c r="B720" s="204" t="s">
        <v>3534</v>
      </c>
      <c r="C720" s="205" t="str">
        <f>HYPERLINK("https://docs.google.com/document/d/1-KS-OFQ1BihT5SWZsjQqNu6xB6JY3OuIyQbMhROYacg/edit?ts=5cd87c45#heading=h.9lny36kald7x","Penalties")</f>
        <v>Penalties</v>
      </c>
      <c r="D720" s="446"/>
      <c r="E720" s="451" t="s">
        <v>3535</v>
      </c>
      <c r="F720" s="105"/>
      <c r="I720" s="105"/>
      <c r="J720" s="105"/>
      <c r="K720" s="448"/>
      <c r="L720" s="449"/>
      <c r="M720" s="92"/>
    </row>
    <row r="721">
      <c r="B721" s="204" t="s">
        <v>3536</v>
      </c>
      <c r="C721" s="205" t="str">
        <f>HYPERLINK("https://docs.google.com/document/d/1-KS-OFQ1BihT5SWZsjQqNu6xB6JY3OuIyQbMhROYacg/edit?ts=5cd87c45#heading=h.pzfl2ymku2dq","Sort function for tables")</f>
        <v>Sort function for tables</v>
      </c>
      <c r="D721" s="446"/>
      <c r="E721" s="452" t="s">
        <v>3537</v>
      </c>
      <c r="F721" s="105"/>
      <c r="I721" s="105"/>
      <c r="J721" s="105"/>
      <c r="K721" s="448"/>
      <c r="L721" s="449"/>
      <c r="M721" s="92"/>
    </row>
    <row r="722">
      <c r="B722" s="204" t="s">
        <v>3538</v>
      </c>
      <c r="C722" s="205" t="str">
        <f>HYPERLINK("https://docs.google.com/document/d/1-KS-OFQ1BihT5SWZsjQqNu6xB6JY3OuIyQbMhROYacg/edit?ts=5cd87c45#heading=h.qhr1gelvmfqz","Self, manager, role-based reviewing.")</f>
        <v>Self, manager, role-based reviewing.</v>
      </c>
      <c r="D722" s="446"/>
      <c r="E722" s="451" t="s">
        <v>3539</v>
      </c>
      <c r="F722" s="105"/>
      <c r="I722" s="105"/>
      <c r="J722" s="105"/>
      <c r="K722" s="448"/>
      <c r="L722" s="449"/>
      <c r="M722" s="92"/>
    </row>
    <row r="723">
      <c r="B723" s="204" t="s">
        <v>3540</v>
      </c>
      <c r="C723" s="205" t="str">
        <f>HYPERLINK("https://docs.google.com/document/d/1-KS-OFQ1BihT5SWZsjQqNu6xB6JY3OuIyQbMhROYacg/edit?ts=5cd87c45#heading=h.xtu62uwvrsgl","Improvements to review versioning")</f>
        <v>Improvements to review versioning</v>
      </c>
      <c r="D723" s="446"/>
      <c r="E723" s="451" t="s">
        <v>3541</v>
      </c>
      <c r="F723" s="105"/>
      <c r="I723" s="105"/>
      <c r="J723" s="105"/>
      <c r="K723" s="448"/>
      <c r="L723" s="449"/>
      <c r="M723" s="92"/>
    </row>
    <row r="724">
      <c r="B724" s="204" t="s">
        <v>3542</v>
      </c>
      <c r="C724" s="205" t="str">
        <f>HYPERLINK("https://docs.google.com/document/d/1-KS-OFQ1BihT5SWZsjQqNu6xB6JY3OuIyQbMhROYacg/edit?ts=5cd87c45#heading=h.sxxrdban8otb","Integrate the score cache &amp; build appropriate db indexes to greatly speed up score reports")</f>
        <v>Integrate the score cache &amp; build appropriate db indexes to greatly speed up score reports</v>
      </c>
      <c r="D724" s="446"/>
      <c r="E724" s="452" t="s">
        <v>3543</v>
      </c>
      <c r="F724" s="105"/>
      <c r="I724" s="105"/>
      <c r="J724" s="105"/>
      <c r="K724" s="448"/>
      <c r="L724" s="449"/>
      <c r="M724" s="92"/>
    </row>
    <row r="725">
      <c r="B725" s="204" t="s">
        <v>3544</v>
      </c>
      <c r="C725" s="205" t="str">
        <f>HYPERLINK("https://docs.google.com/document/d/1-KS-OFQ1BihT5SWZsjQqNu6xB6JY3OuIyQbMhROYacg/edit?ts=5cd87c45#heading=h.sblzr6bobbma","Improvements to custom rubrics")</f>
        <v>Improvements to custom rubrics</v>
      </c>
      <c r="D725" s="446"/>
      <c r="E725" s="451" t="s">
        <v>3545</v>
      </c>
      <c r="F725" s="105"/>
      <c r="I725" s="105"/>
      <c r="J725" s="105"/>
      <c r="K725" s="448"/>
      <c r="L725" s="449"/>
      <c r="M725" s="92"/>
    </row>
    <row r="726">
      <c r="A726" s="46" t="s">
        <v>3546</v>
      </c>
      <c r="B726" s="317" t="s">
        <v>3547</v>
      </c>
      <c r="C726" s="453" t="str">
        <f>HYPERLINK("https://docs.google.com/document/d/1l7tR3137WM7eopiFcao9m5eHMDhrvC-otDscbyqAEGg/edit#","Implement backend for Expertiza Game Frontend")</f>
        <v>Implement backend for Expertiza Game Frontend</v>
      </c>
      <c r="D726" s="454"/>
      <c r="E726" s="116" t="s">
        <v>3548</v>
      </c>
      <c r="F726" s="105"/>
      <c r="I726" s="105"/>
      <c r="J726" s="105"/>
      <c r="K726" s="448"/>
      <c r="L726" s="454"/>
      <c r="M726" s="92"/>
    </row>
    <row r="727">
      <c r="B727" s="455" t="s">
        <v>3549</v>
      </c>
      <c r="C727" s="456" t="str">
        <f>HYPERLINK("https://docs.google.com/document/d/1l7tR3137WM7eopiFcao9m5eHMDhrvC-otDscbyqAEGg/edit#","Miscellaneous controller cleanup")</f>
        <v>Miscellaneous controller cleanup</v>
      </c>
      <c r="D727" s="454"/>
      <c r="E727" s="457"/>
      <c r="F727" s="105"/>
      <c r="I727" s="105"/>
      <c r="J727" s="105"/>
      <c r="K727" s="448"/>
      <c r="L727" s="454"/>
      <c r="M727" s="92"/>
    </row>
    <row r="728">
      <c r="B728" s="317" t="s">
        <v>3550</v>
      </c>
      <c r="C728" s="453" t="str">
        <f>HYPERLINK("https://docs.google.com/document/d/1l7tR3137WM7eopiFcao9m5eHMDhrvC-otDscbyqAEGg/edit#heading=h.iy36yhnuc82y","Rework on E219 refactoring")</f>
        <v>Rework on E219 refactoring</v>
      </c>
      <c r="D728" s="454"/>
      <c r="E728" s="116" t="s">
        <v>3551</v>
      </c>
      <c r="F728" s="105"/>
      <c r="I728" s="105"/>
      <c r="J728" s="105"/>
      <c r="K728" s="448"/>
      <c r="L728" s="454"/>
      <c r="M728" s="92"/>
    </row>
    <row r="729">
      <c r="B729" s="455" t="s">
        <v>3552</v>
      </c>
      <c r="C729" s="456" t="str">
        <f>HYPERLINK("https://docs.google.com/document/d/1l7tR3137WM7eopiFcao9m5eHMDhrvC-otDscbyqAEGg/edit#","Refactor signup code")</f>
        <v>Refactor signup code</v>
      </c>
      <c r="D729" s="454"/>
      <c r="E729" s="457"/>
      <c r="F729" s="105"/>
      <c r="I729" s="105"/>
      <c r="J729" s="105"/>
      <c r="K729" s="448"/>
      <c r="L729" s="454"/>
      <c r="M729" s="92"/>
    </row>
    <row r="730">
      <c r="B730" s="317" t="s">
        <v>3553</v>
      </c>
      <c r="C730" s="453" t="str">
        <f>HYPERLINK("https://docs.google.com/document/d/1l7tR3137WM7eopiFcao9m5eHMDhrvC-otDscbyqAEGg/edit#heading=h.bn8dpmu9y2dw","Rework on E209")</f>
        <v>Rework on E209</v>
      </c>
      <c r="D730" s="454"/>
      <c r="E730" s="116" t="s">
        <v>3554</v>
      </c>
      <c r="F730" s="105"/>
      <c r="I730" s="105"/>
      <c r="J730" s="105"/>
      <c r="K730" s="448"/>
      <c r="L730" s="454"/>
      <c r="M730" s="92"/>
    </row>
    <row r="731">
      <c r="B731" s="317" t="s">
        <v>3555</v>
      </c>
      <c r="C731" s="453" t="str">
        <f>HYPERLINK("https://docs.google.com/document/d/1l7tR3137WM7eopiFcao9m5eHMDhrvC-otDscbyqAEGg/edit#heading=h.q8eypvu2qx3d","Merge project E321 Code review -- redo")</f>
        <v>Merge project E321 Code review -- redo</v>
      </c>
      <c r="D731" s="454"/>
      <c r="E731" s="116" t="s">
        <v>3556</v>
      </c>
      <c r="F731" s="105"/>
      <c r="I731" s="105"/>
      <c r="J731" s="105"/>
      <c r="K731" s="448"/>
      <c r="L731" s="454"/>
      <c r="M731" s="92"/>
    </row>
    <row r="732">
      <c r="B732" s="317" t="s">
        <v>3557</v>
      </c>
      <c r="C732" s="453" t="str">
        <f>HYPERLINK("https://docs.google.com/document/d/1l7tR3137WM7eopiFcao9m5eHMDhrvC-otDscbyqAEGg/edit#heading=h.g6td3nl0fy32","Merge project E309 Extensions to last year's Enhancements to wiki-textbook functionality")</f>
        <v>Merge project E309 Extensions to last year's Enhancements to wiki-textbook functionality</v>
      </c>
      <c r="D732" s="454"/>
      <c r="E732" s="116" t="s">
        <v>3558</v>
      </c>
      <c r="F732" s="105"/>
      <c r="I732" s="105"/>
      <c r="J732" s="105"/>
      <c r="K732" s="448"/>
      <c r="L732" s="454"/>
      <c r="M732" s="92"/>
    </row>
    <row r="733">
      <c r="B733" s="317" t="s">
        <v>3559</v>
      </c>
      <c r="C733" s="453" t="str">
        <f>HYPERLINK("https://docs.google.com/document/d/1l7tR3137WM7eopiFcao9m5eHMDhrvC-otDscbyqAEGg/edit#heading=h.fxfjn31iw0yd","Display review feedback in the form of tables")</f>
        <v>Display review feedback in the form of tables</v>
      </c>
      <c r="D733" s="454"/>
      <c r="E733" s="458" t="s">
        <v>3560</v>
      </c>
      <c r="F733" s="105"/>
      <c r="I733" s="105"/>
      <c r="J733" s="105"/>
      <c r="K733" s="448"/>
      <c r="L733" s="454"/>
      <c r="M733" s="92"/>
    </row>
    <row r="734">
      <c r="B734" s="317" t="s">
        <v>3561</v>
      </c>
      <c r="C734" s="453" t="str">
        <f>HYPERLINK("https://docs.google.com/document/d/1l7tR3137WM7eopiFcao9m5eHMDhrvC-otDscbyqAEGg/edit#heading=h.56fxyuwgygrx","Merge project E303, Aggregate metareview &amp; teammate review info for an entire semester")</f>
        <v>Merge project E303, Aggregate metareview &amp; teammate review info for an entire semester</v>
      </c>
      <c r="D734" s="454"/>
      <c r="E734" s="116" t="s">
        <v>3545</v>
      </c>
      <c r="F734" s="105"/>
      <c r="I734" s="105"/>
      <c r="J734" s="105"/>
      <c r="K734" s="448"/>
      <c r="L734" s="459"/>
      <c r="M734" s="92"/>
    </row>
    <row r="735">
      <c r="B735" s="317" t="s">
        <v>3562</v>
      </c>
      <c r="C735" s="453" t="str">
        <f>HYPERLINK("https://docs.google.com/document/d/1l7tR3137WM7eopiFcao9m5eHMDhrvC-otDscbyqAEGg/edit#heading=h.o3mjfr13mz6e","Add ability to update css through webapp")</f>
        <v>Add ability to update css through webapp</v>
      </c>
      <c r="D735" s="454"/>
      <c r="E735" s="457"/>
      <c r="F735" s="105"/>
      <c r="I735" s="105"/>
      <c r="J735" s="105"/>
      <c r="K735" s="448"/>
      <c r="L735" s="454"/>
      <c r="M735" s="92"/>
    </row>
    <row r="736">
      <c r="B736" s="317" t="s">
        <v>3563</v>
      </c>
      <c r="C736" s="453" t="str">
        <f>HYPERLINK("https://docs.google.com/document/d/1l7tR3137WM7eopiFcao9m5eHMDhrvC-otDscbyqAEGg/edit#heading=h.dbxdetqdq7cp","Add ability to update css through webapp")</f>
        <v>Add ability to update css through webapp</v>
      </c>
      <c r="D736" s="454"/>
      <c r="E736" s="457"/>
      <c r="F736" s="105"/>
      <c r="I736" s="105"/>
      <c r="J736" s="105"/>
      <c r="K736" s="448"/>
      <c r="L736" s="454"/>
      <c r="M736" s="92"/>
    </row>
    <row r="737">
      <c r="A737" s="460" t="s">
        <v>3564</v>
      </c>
      <c r="B737" s="461" t="s">
        <v>3565</v>
      </c>
      <c r="C737" s="462" t="str">
        <f>HYPERLINK("https://docs.google.com/document/d/1LDWHpdIaaQ37NwHfOuSq-baqCr5SvQgaouSPeVM7qNA/edit?authkey=CMusubYH&amp;ts=5cd6c8ef#heading=h.nmuzaq4fc8jw","Cucumber tests")</f>
        <v>Cucumber tests</v>
      </c>
      <c r="D737" s="463"/>
      <c r="E737" s="464" t="s">
        <v>3566</v>
      </c>
      <c r="F737" s="105"/>
      <c r="I737" s="465"/>
      <c r="J737" s="465"/>
      <c r="K737" s="448"/>
      <c r="L737" s="466"/>
      <c r="M737" s="92"/>
    </row>
    <row r="738">
      <c r="B738" s="461" t="s">
        <v>3567</v>
      </c>
      <c r="C738" s="462" t="str">
        <f>HYPERLINK("https://docs.google.com/document/d/1LDWHpdIaaQ37NwHfOuSq-baqCr5SvQgaouSPeVM7qNA/edit?authkey=CMusubYH&amp;ts=5cd6c8ef#heading=h.iqcdwnlneqw9","Import data from Piazza.")</f>
        <v>Import data from Piazza.</v>
      </c>
      <c r="D738" s="463"/>
      <c r="E738" s="464" t="s">
        <v>3568</v>
      </c>
      <c r="F738" s="105"/>
      <c r="I738" s="465"/>
      <c r="J738" s="465"/>
      <c r="K738" s="448"/>
      <c r="L738" s="466"/>
      <c r="M738" s="92"/>
    </row>
    <row r="739">
      <c r="B739" s="461" t="s">
        <v>3569</v>
      </c>
      <c r="C739" s="462" t="str">
        <f>HYPERLINK("https://docs.google.com/document/d/1LDWHpdIaaQ37NwHfOuSq-baqCr5SvQgaouSPeVM7qNA/edit?authkey=CMusubYH&amp;ts=5cd6c8ef#heading=h.vidcm7ho5agb","Review versioning")</f>
        <v>Review versioning</v>
      </c>
      <c r="D739" s="467"/>
      <c r="E739" s="468" t="s">
        <v>3570</v>
      </c>
      <c r="F739" s="105"/>
      <c r="I739" s="465"/>
      <c r="J739" s="465"/>
      <c r="K739" s="448"/>
      <c r="L739" s="466"/>
      <c r="M739" s="92"/>
    </row>
    <row r="740">
      <c r="B740" s="461" t="s">
        <v>3571</v>
      </c>
      <c r="C740" s="462" t="str">
        <f>HYPERLINK("https://docs.google.com/document/d/1LDWHpdIaaQ37NwHfOuSq-baqCr5SvQgaouSPeVM7qNA/edit?authkey=CMusubYH&amp;ts=5cd6c8ef#heading=h.glu4iwumh5mr","A module to take reports from students on results of interactions with helpers from other groups.")</f>
        <v>A module to take reports from students on results of interactions with helpers from other groups.</v>
      </c>
      <c r="D740" s="467"/>
      <c r="E740" s="468" t="s">
        <v>3572</v>
      </c>
      <c r="F740" s="105"/>
      <c r="I740" s="465"/>
      <c r="J740" s="465"/>
      <c r="K740" s="448"/>
      <c r="L740" s="466"/>
      <c r="M740" s="92"/>
    </row>
    <row r="741">
      <c r="B741" s="461" t="s">
        <v>3573</v>
      </c>
      <c r="C741" s="462" t="str">
        <f>HYPERLINK("https://docs.google.com/document/d/1LDWHpdIaaQ37NwHfOuSq-baqCr5SvQgaouSPeVM7qNA/edit?authkey=CMusubYH&amp;ts=5cd6c8ef#heading=h.glu4iwumh5mr","Code review -- redo")</f>
        <v>Code review -- redo</v>
      </c>
      <c r="D741" s="467"/>
      <c r="E741" s="468" t="s">
        <v>3574</v>
      </c>
      <c r="F741" s="105"/>
      <c r="I741" s="465"/>
      <c r="J741" s="465"/>
      <c r="K741" s="448"/>
      <c r="L741" s="466"/>
      <c r="M741" s="92"/>
    </row>
    <row r="742">
      <c r="B742" s="461" t="s">
        <v>3575</v>
      </c>
      <c r="C742" s="462" t="str">
        <f>HYPERLINK("https://docs.google.com/document/d/1LDWHpdIaaQ37NwHfOuSq-baqCr5SvQgaouSPeVM7qNA/edit?authkey=CMusubYH&amp;ts=5cd6c8ef#heading=h.20ty3cfmcpfv","Collect data about a student in one place")</f>
        <v>Collect data about a student in one place</v>
      </c>
      <c r="D742" s="467"/>
      <c r="E742" s="468" t="s">
        <v>3576</v>
      </c>
      <c r="F742" s="105"/>
      <c r="I742" s="465"/>
      <c r="J742" s="465"/>
      <c r="K742" s="448"/>
      <c r="L742" s="466"/>
      <c r="M742" s="92"/>
    </row>
    <row r="743">
      <c r="B743" s="461" t="s">
        <v>3577</v>
      </c>
      <c r="C743" s="462" t="str">
        <f>HYPERLINK("https://docs.google.com/document/d/1LDWHpdIaaQ37NwHfOuSq-baqCr5SvQgaouSPeVM7qNA/edit?authkey=CMusubYH&amp;ts=5cd6c8ef#heading=h.qwapcy1c9kkl","Github issues")</f>
        <v>Github issues</v>
      </c>
      <c r="D743" s="467"/>
      <c r="E743" s="468" t="s">
        <v>3578</v>
      </c>
      <c r="F743" s="105"/>
      <c r="I743" s="465"/>
      <c r="J743" s="465"/>
      <c r="K743" s="448"/>
      <c r="L743" s="466"/>
      <c r="M743" s="92"/>
    </row>
    <row r="744">
      <c r="B744" s="461" t="s">
        <v>3579</v>
      </c>
      <c r="C744" s="462" t="str">
        <f>HYPERLINK("https://docs.google.com/document/d/1LDWHpdIaaQ37NwHfOuSq-baqCr5SvQgaouSPeVM7qNA/edit?authkey=CMusubYH&amp;ts=5cd6c8ef#heading=h.5zpqmtlgabgf","A way to advertise for partners")</f>
        <v>A way to advertise for partners</v>
      </c>
      <c r="D744" s="467"/>
      <c r="E744" s="468" t="s">
        <v>3580</v>
      </c>
      <c r="F744" s="105"/>
      <c r="I744" s="465"/>
      <c r="J744" s="465"/>
      <c r="K744" s="448"/>
      <c r="L744" s="466"/>
      <c r="M744" s="92"/>
    </row>
    <row r="745">
      <c r="B745" s="461" t="s">
        <v>3581</v>
      </c>
      <c r="C745" s="462" t="str">
        <f>HYPERLINK("https://docs.google.com/document/d/1LDWHpdIaaQ37NwHfOuSq-baqCr5SvQgaouSPeVM7qNA/edit?authkey=CMusubYH&amp;ts=5cd6c8ef#heading=h.5zpqmtlgabgf","360-degree assessment")</f>
        <v>360-degree assessment</v>
      </c>
      <c r="D745" s="467"/>
      <c r="E745" s="468" t="s">
        <v>3582</v>
      </c>
      <c r="F745" s="105"/>
      <c r="I745" s="465"/>
      <c r="J745" s="465"/>
      <c r="K745" s="448"/>
      <c r="L745" s="466"/>
      <c r="M745" s="92"/>
    </row>
    <row r="746">
      <c r="B746" s="461" t="s">
        <v>3583</v>
      </c>
      <c r="C746" s="462" t="str">
        <f>HYPERLINK("https://docs.google.com/document/d/1LDWHpdIaaQ37NwHfOuSq-baqCr5SvQgaouSPeVM7qNA/edit?authkey=CMusubYH&amp;ts=5cd6c8ef#heading=h.wl9a5lirgxxp","Quizzing")</f>
        <v>Quizzing</v>
      </c>
      <c r="D746" s="467"/>
      <c r="E746" s="468" t="s">
        <v>3584</v>
      </c>
      <c r="F746" s="105"/>
      <c r="I746" s="465"/>
      <c r="J746" s="465"/>
      <c r="K746" s="448"/>
      <c r="L746" s="466"/>
      <c r="M746" s="92"/>
    </row>
    <row r="747">
      <c r="B747" s="461" t="s">
        <v>3585</v>
      </c>
      <c r="C747" s="462" t="str">
        <f>HYPERLINK("https://docs.google.com/document/d/1LDWHpdIaaQ37NwHfOuSq-baqCr5SvQgaouSPeVM7qNA/edit?authkey=CMusubYH&amp;ts=5cd6c8ef#heading=h.wl9a5lirgxxp","Score-cache completion")</f>
        <v>Score-cache completion</v>
      </c>
      <c r="D747" s="467"/>
      <c r="E747" s="468" t="s">
        <v>3586</v>
      </c>
      <c r="F747" s="105"/>
      <c r="I747" s="465"/>
      <c r="J747" s="465"/>
      <c r="K747" s="448"/>
      <c r="L747" s="466"/>
      <c r="M747" s="92"/>
    </row>
    <row r="748">
      <c r="B748" s="461" t="s">
        <v>3587</v>
      </c>
      <c r="C748" s="462" t="str">
        <f>HYPERLINK("https://docs.google.com/document/d/1LDWHpdIaaQ37NwHfOuSq-baqCr5SvQgaouSPeVM7qNA/edit?authkey=CMusubYH&amp;ts=5cd6c8ef#heading=h.wwx8dh5vents","Penalties")</f>
        <v>Penalties</v>
      </c>
      <c r="D748" s="467"/>
      <c r="E748" s="468" t="s">
        <v>3588</v>
      </c>
      <c r="F748" s="105"/>
      <c r="I748" s="465"/>
      <c r="J748" s="465"/>
      <c r="K748" s="448"/>
      <c r="L748" s="466"/>
      <c r="M748" s="92"/>
    </row>
    <row r="749">
      <c r="B749" s="461" t="s">
        <v>3589</v>
      </c>
      <c r="C749" s="462" t="str">
        <f>HYPERLINK("https://docs.google.com/document/d/1LDWHpdIaaQ37NwHfOuSq-baqCr5SvQgaouSPeVM7qNA/edit?authkey=CMusubYH&amp;ts=5cd6c8ef#heading=h.ay9n15b1q6t8","Further progress on custom rubrics")</f>
        <v>Further progress on custom rubrics</v>
      </c>
      <c r="D749" s="467"/>
      <c r="E749" s="468" t="s">
        <v>3590</v>
      </c>
      <c r="F749" s="105"/>
      <c r="I749" s="105"/>
      <c r="J749" s="105"/>
      <c r="K749" s="448"/>
      <c r="L749" s="466"/>
      <c r="M749" s="92"/>
    </row>
    <row r="750">
      <c r="B750" s="461" t="s">
        <v>3591</v>
      </c>
      <c r="C750" s="462" t="str">
        <f>HYPERLINK("https://docs.google.com/document/d/1LDWHpdIaaQ37NwHfOuSq-baqCr5SvQgaouSPeVM7qNA/edit?authkey=CMusubYH&amp;ts=5cd6c8ef#heading=h.f936fs7ve0gr","Google docs -- for the assignment_controller.rb team")</f>
        <v>Google docs -- for the assignment_controller.rb team</v>
      </c>
      <c r="D750" s="469"/>
      <c r="E750" s="470"/>
      <c r="F750" s="105"/>
      <c r="I750" s="465"/>
      <c r="J750" s="465"/>
      <c r="K750" s="448"/>
      <c r="L750" s="466"/>
      <c r="M750" s="92"/>
    </row>
    <row r="751">
      <c r="B751" s="461" t="s">
        <v>3592</v>
      </c>
      <c r="C751" s="462" t="str">
        <f>HYPERLINK("https://docs.google.com/document/d/1LDWHpdIaaQ37NwHfOuSq-baqCr5SvQgaouSPeVM7qNA/edit?authkey=CMusubYH&amp;ts=5cd6c8ef#heading=h.8exmo282wkm","Nonlinear scoring for teammate reviews")</f>
        <v>Nonlinear scoring for teammate reviews</v>
      </c>
      <c r="D751" s="467"/>
      <c r="E751" s="468" t="s">
        <v>3593</v>
      </c>
      <c r="F751" s="105"/>
      <c r="I751" s="465"/>
      <c r="J751" s="465"/>
      <c r="K751" s="448"/>
      <c r="L751" s="466"/>
      <c r="M751" s="92"/>
    </row>
    <row r="752">
      <c r="B752" s="461" t="s">
        <v>3594</v>
      </c>
      <c r="C752" s="471" t="str">
        <f>HYPERLINK("https://docs.google.com/document/d/1LDWHpdIaaQ37NwHfOuSq-baqCr5SvQgaouSPeVM7qNA/edit?authkey=CMusubYH&amp;ts=5cd6c8ef#heading=h.7f3qw47zzhnn","Social bookmarking")</f>
        <v>Social bookmarking</v>
      </c>
      <c r="D752" s="472"/>
      <c r="E752" s="473" t="s">
        <v>3595</v>
      </c>
      <c r="F752" s="105"/>
      <c r="I752" s="105"/>
      <c r="J752" s="105"/>
      <c r="K752" s="448"/>
      <c r="L752" s="466"/>
      <c r="M752" s="92"/>
    </row>
    <row r="753">
      <c r="B753" s="461" t="s">
        <v>3596</v>
      </c>
      <c r="C753" s="462" t="str">
        <f>HYPERLINK("https://docs.google.com/document/d/1LDWHpdIaaQ37NwHfOuSq-baqCr5SvQgaouSPeVM7qNA/edit?authkey=CMusubYH&amp;ts=5cd6c8ef#heading=h.huacv0muewl0","Extensions to last year's Enhancements to wiki-textbook functionality")</f>
        <v>Extensions to last year's Enhancements to wiki-textbook functionality</v>
      </c>
      <c r="D753" s="467"/>
      <c r="E753" s="468" t="s">
        <v>3597</v>
      </c>
      <c r="F753" s="105"/>
      <c r="I753" s="105"/>
      <c r="J753" s="105"/>
      <c r="K753" s="448"/>
      <c r="L753" s="466"/>
      <c r="M753" s="92"/>
    </row>
    <row r="754">
      <c r="B754" s="461" t="s">
        <v>3598</v>
      </c>
      <c r="C754" s="462" t="str">
        <f>HYPERLINK("https://docs.google.com/document/d/1LDWHpdIaaQ37NwHfOuSq-baqCr5SvQgaouSPeVM7qNA/edit?authkey=CMusubYH&amp;ts=5cd6c8ef#heading=h.rh6g1fy2eyxp","Rotation of teams w/in a class")</f>
        <v>Rotation of teams w/in a class</v>
      </c>
      <c r="D754" s="467"/>
      <c r="E754" s="468" t="s">
        <v>3599</v>
      </c>
      <c r="F754" s="105"/>
      <c r="I754" s="105"/>
      <c r="J754" s="105"/>
      <c r="K754" s="448"/>
      <c r="L754" s="466"/>
      <c r="M754" s="92"/>
    </row>
    <row r="755">
      <c r="B755" s="461" t="s">
        <v>3600</v>
      </c>
      <c r="C755" s="462" t="str">
        <f>HYPERLINK("https://docs.google.com/document/d/1LDWHpdIaaQ37NwHfOuSq-baqCr5SvQgaouSPeVM7qNA/edit?authkey=CMusubYH&amp;ts=5cd6c8ef#heading=h.7zx9nu5ay104","Better display for assignments")</f>
        <v>Better display for assignments</v>
      </c>
      <c r="D755" s="467"/>
      <c r="E755" s="468" t="s">
        <v>3601</v>
      </c>
      <c r="F755" s="105"/>
      <c r="I755" s="105"/>
      <c r="J755" s="105"/>
      <c r="K755" s="448"/>
      <c r="L755" s="466"/>
      <c r="M755" s="92"/>
    </row>
    <row r="756">
      <c r="B756" s="461" t="s">
        <v>3602</v>
      </c>
      <c r="C756" s="462" t="str">
        <f>HYPERLINK("https://docs.google.com/document/d/1LDWHpdIaaQ37NwHfOuSq-baqCr5SvQgaouSPeVM7qNA/edit?authkey=CMusubYH&amp;ts=5cd6c8ef#heading=h.ud2rotzeocg4","Checkbox, radio-button, and unscored questions")</f>
        <v>Checkbox, radio-button, and unscored questions</v>
      </c>
      <c r="D756" s="467"/>
      <c r="E756" s="468" t="s">
        <v>3603</v>
      </c>
      <c r="F756" s="105"/>
      <c r="I756" s="105"/>
      <c r="J756" s="105"/>
      <c r="K756" s="448"/>
      <c r="L756" s="466"/>
      <c r="M756" s="92"/>
    </row>
    <row r="757">
      <c r="B757" s="461" t="s">
        <v>3604</v>
      </c>
      <c r="C757" s="462" t="str">
        <f>HYPERLINK("https://docs.google.com/document/d/1LDWHpdIaaQ37NwHfOuSq-baqCr5SvQgaouSPeVM7qNA/edit?authkey=CMusubYH&amp;ts=5cd6c8ef#heading=h.5y3nil7u587","OpenAuth --&gt; integration w/an LMS")</f>
        <v>OpenAuth --&gt; integration w/an LMS</v>
      </c>
      <c r="D757" s="472"/>
      <c r="E757" s="473" t="s">
        <v>3605</v>
      </c>
      <c r="F757" s="105"/>
      <c r="I757" s="105"/>
      <c r="J757" s="105"/>
      <c r="K757" s="448"/>
      <c r="L757" s="466"/>
      <c r="M757" s="92"/>
    </row>
    <row r="758">
      <c r="B758" s="461" t="s">
        <v>3606</v>
      </c>
      <c r="C758" s="462" t="str">
        <f>HYPERLINK("https://docs.google.com/document/d/1LDWHpdIaaQ37NwHfOuSq-baqCr5SvQgaouSPeVM7qNA/edit?authkey=CMusubYH&amp;ts=5cd6c8ef#heading=h.3u2gb8cqoqvv","Self, manager, role-based reviewing for teams &amp; reader assessment")</f>
        <v>Self, manager, role-based reviewing for teams &amp; reader assessment</v>
      </c>
      <c r="D758" s="469"/>
      <c r="E758" s="470"/>
      <c r="F758" s="105"/>
      <c r="I758" s="105"/>
      <c r="J758" s="105"/>
      <c r="K758" s="448"/>
      <c r="L758" s="466"/>
      <c r="M758" s="92"/>
    </row>
    <row r="759">
      <c r="B759" s="461" t="s">
        <v>3607</v>
      </c>
      <c r="C759" s="462" t="str">
        <f>HYPERLINK("https://docs.google.com/document/d/1LDWHpdIaaQ37NwHfOuSq-baqCr5SvQgaouSPeVM7qNA/edit?authkey=CMusubYH&amp;ts=5cd6c8ef#heading=h.mrxpmkukuhsj","Aggregating metareview &amp; teammate review info over a semester")</f>
        <v>Aggregating metareview &amp; teammate review info over a semester</v>
      </c>
      <c r="D759" s="467"/>
      <c r="E759" s="468" t="s">
        <v>3608</v>
      </c>
      <c r="F759" s="105"/>
      <c r="I759" s="105"/>
      <c r="J759" s="105"/>
      <c r="K759" s="448"/>
      <c r="L759" s="466"/>
      <c r="M759" s="92"/>
    </row>
    <row r="760">
      <c r="B760" s="461" t="s">
        <v>3609</v>
      </c>
      <c r="C760" s="462" t="str">
        <f>HYPERLINK("https://docs.google.com/document/d/1LDWHpdIaaQ37NwHfOuSq-baqCr5SvQgaouSPeVM7qNA/edit?authkey=CMusubYH&amp;ts=5cd6c8ef#heading=h.iyptf6wltr0n","Credit for voluntary work")</f>
        <v>Credit for voluntary work</v>
      </c>
      <c r="D760" s="469"/>
      <c r="E760" s="470"/>
      <c r="F760" s="105"/>
      <c r="I760" s="105"/>
      <c r="J760" s="105"/>
      <c r="K760" s="448"/>
      <c r="L760" s="466"/>
      <c r="M760" s="92"/>
    </row>
    <row r="761">
      <c r="B761" s="461" t="s">
        <v>3610</v>
      </c>
      <c r="C761" s="462" t="str">
        <f>HYPERLINK("https://docs.google.com/document/d/1LDWHpdIaaQ37NwHfOuSq-baqCr5SvQgaouSPeVM7qNA/edit?authkey=CMusubYH&amp;ts=5cd6c8ef#heading=h.u6izpfha4zj8","Microtasks and micropayments")</f>
        <v>Microtasks and micropayments</v>
      </c>
      <c r="D761" s="474"/>
      <c r="E761" s="475" t="s">
        <v>3611</v>
      </c>
      <c r="F761" s="105"/>
      <c r="I761" s="105"/>
      <c r="J761" s="105"/>
      <c r="K761" s="448"/>
      <c r="L761" s="466"/>
      <c r="M761" s="92"/>
    </row>
    <row r="762">
      <c r="A762" s="60" t="s">
        <v>3612</v>
      </c>
      <c r="B762" s="333" t="s">
        <v>3613</v>
      </c>
      <c r="C762" s="334" t="str">
        <f>HYPERLINK("https://docs.google.com/document/d/1zZ-a_tkLGrbYJbG-2QBCRqe_Y9XLR4AZMH0rc6KvrYU/edit#heading=h.f1ko98f3wfv6","Extra credit &amp; grades export")</f>
        <v>Extra credit &amp; grades export</v>
      </c>
      <c r="D762" s="476"/>
      <c r="E762" s="477" t="s">
        <v>3614</v>
      </c>
      <c r="F762" s="105"/>
      <c r="I762" s="105"/>
      <c r="J762" s="105"/>
      <c r="K762" s="118"/>
      <c r="L762" s="478"/>
      <c r="M762" s="92"/>
    </row>
    <row r="763">
      <c r="B763" s="333" t="s">
        <v>3549</v>
      </c>
      <c r="C763" s="334" t="str">
        <f>HYPERLINK("https://docs.google.com/document/d/1zZ-a_tkLGrbYJbG-2QBCRqe_Y9XLR4AZMH0rc6KvrYU/edit#heading=h.12ungao4fcig","Miscellaneous controller cleanup")</f>
        <v>Miscellaneous controller cleanup</v>
      </c>
      <c r="D763" s="476"/>
      <c r="E763" s="477" t="s">
        <v>3615</v>
      </c>
      <c r="F763" s="105"/>
      <c r="I763" s="105"/>
      <c r="J763" s="105"/>
      <c r="K763" s="118"/>
      <c r="L763" s="478"/>
      <c r="M763" s="92"/>
    </row>
    <row r="764">
      <c r="B764" s="333" t="s">
        <v>3616</v>
      </c>
      <c r="C764" s="334" t="str">
        <f>HYPERLINK("https://docs.google.com/document/d/1zZ-a_tkLGrbYJbG-2QBCRqe_Y9XLR4AZMH0rc6KvrYU/edit#heading=h.12ungao4fcig","Refactor leaderboard.rb and score_cache.rb")</f>
        <v>Refactor leaderboard.rb and score_cache.rb</v>
      </c>
      <c r="D764" s="476"/>
      <c r="E764" s="477" t="s">
        <v>3617</v>
      </c>
      <c r="F764" s="105"/>
      <c r="I764" s="105"/>
      <c r="J764" s="105"/>
      <c r="K764" s="118"/>
      <c r="L764" s="478"/>
      <c r="M764" s="92"/>
    </row>
    <row r="765">
      <c r="B765" s="333" t="s">
        <v>3618</v>
      </c>
      <c r="C765" s="334" t="str">
        <f>HYPERLINK("https://docs.google.com/document/d/1zZ-a_tkLGrbYJbG-2QBCRqe_Y9XLR4AZMH0rc6KvrYU/edit#heading=h.wt0gfmge2x5k","Integrate a few of last year’s projects")</f>
        <v>Integrate a few of last year’s projects</v>
      </c>
      <c r="D765" s="476"/>
      <c r="E765" s="477" t="s">
        <v>3619</v>
      </c>
      <c r="F765" s="105"/>
      <c r="I765" s="105"/>
      <c r="J765" s="105"/>
      <c r="K765" s="118"/>
      <c r="L765" s="478"/>
      <c r="M765" s="92"/>
    </row>
    <row r="766">
      <c r="B766" s="333" t="s">
        <v>3620</v>
      </c>
      <c r="C766" s="334" t="str">
        <f>HYPERLINK("https://docs.google.com/document/d/1zZ-a_tkLGrbYJbG-2QBCRqe_Y9XLR4AZMH0rc6KvrYU/edit#heading=h.ncdgx9sjepvg","Refactor TeamController and ParticipantChoicesController")</f>
        <v>Refactor TeamController and ParticipantChoicesController</v>
      </c>
      <c r="D766" s="476"/>
      <c r="E766" s="477" t="s">
        <v>3621</v>
      </c>
      <c r="F766" s="105"/>
      <c r="I766" s="105"/>
      <c r="J766" s="105"/>
      <c r="K766" s="118"/>
      <c r="L766" s="478"/>
      <c r="M766" s="92"/>
    </row>
    <row r="767">
      <c r="B767" s="333" t="s">
        <v>3622</v>
      </c>
      <c r="C767" s="334" t="str">
        <f>HYPERLINK("https://docs.google.com/document/d/1zZ-a_tkLGrbYJbG-2QBCRqe_Y9XLR4AZMH0rc6KvrYU/edit#heading=h.7dsf8gih3wt","Create seed data")</f>
        <v>Create seed data</v>
      </c>
      <c r="D767" s="476"/>
      <c r="E767" s="477" t="s">
        <v>3623</v>
      </c>
      <c r="F767" s="105"/>
      <c r="I767" s="105"/>
      <c r="J767" s="105"/>
      <c r="K767" s="118"/>
      <c r="L767" s="478"/>
      <c r="M767" s="92"/>
    </row>
    <row r="768">
      <c r="B768" s="333" t="s">
        <v>3624</v>
      </c>
      <c r="C768" s="334" t="str">
        <f>HYPERLINK("https://docs.google.com/document/d/1zZ-a_tkLGrbYJbG-2QBCRqe_Y9XLR4AZMH0rc6KvrYU/edit#heading=h.7dsf8gih3wt","Cover all student workflows with cucumber tests")</f>
        <v>Cover all student workflows with cucumber tests</v>
      </c>
      <c r="D768" s="476"/>
      <c r="E768" s="479" t="s">
        <v>3625</v>
      </c>
      <c r="F768" s="105"/>
      <c r="I768" s="105"/>
      <c r="J768" s="105"/>
      <c r="K768" s="92"/>
      <c r="L768" s="478"/>
      <c r="M768" s="92"/>
    </row>
    <row r="769">
      <c r="B769" s="333" t="s">
        <v>3626</v>
      </c>
      <c r="C769" s="334" t="str">
        <f>HYPERLINK("https://docs.google.com/document/d/1zZ-a_tkLGrbYJbG-2QBCRqe_Y9XLR4AZMH0rc6KvrYU/edit#heading=h.6u5kh9po8en","Order of display for tables &amp; questionnaires")</f>
        <v>Order of display for tables &amp; questionnaires</v>
      </c>
      <c r="D769" s="476"/>
      <c r="E769" s="479" t="s">
        <v>3627</v>
      </c>
      <c r="F769" s="105"/>
      <c r="I769" s="105"/>
      <c r="J769" s="105"/>
      <c r="K769" s="92"/>
      <c r="L769" s="478"/>
      <c r="M769" s="92"/>
    </row>
    <row r="770">
      <c r="B770" s="333" t="s">
        <v>3628</v>
      </c>
      <c r="C770" s="334" t="str">
        <f>HYPERLINK("https://docs.google.com/document/d/1zZ-a_tkLGrbYJbG-2QBCRqe_Y9XLR4AZMH0rc6KvrYU/edit#heading=h.12ungao4fcig","Improvements to imports")</f>
        <v>Improvements to imports</v>
      </c>
      <c r="D770" s="476"/>
      <c r="E770" s="479" t="s">
        <v>3629</v>
      </c>
      <c r="F770" s="105"/>
      <c r="I770" s="105"/>
      <c r="J770" s="105"/>
      <c r="K770" s="92"/>
      <c r="L770" s="478"/>
      <c r="M770" s="92"/>
    </row>
    <row r="771">
      <c r="B771" s="333" t="s">
        <v>3630</v>
      </c>
      <c r="C771" s="334" t="str">
        <f>HYPERLINK("https://docs.google.com/document/d/1zZ-a_tkLGrbYJbG-2QBCRqe_Y9XLR4AZMH0rc6KvrYU/edit#heading=h.12ungao4fcig","Wiki spider")</f>
        <v>Wiki spider</v>
      </c>
      <c r="D771" s="476"/>
      <c r="E771" s="477" t="s">
        <v>3631</v>
      </c>
      <c r="F771" s="105"/>
      <c r="I771" s="105"/>
      <c r="J771" s="105"/>
      <c r="K771" s="92"/>
      <c r="L771" s="478"/>
      <c r="M771" s="92"/>
    </row>
    <row r="772">
      <c r="B772" s="333" t="s">
        <v>3632</v>
      </c>
      <c r="C772" s="334" t="str">
        <f>HYPERLINK("https://docs.google.com/document/d/1zZ-a_tkLGrbYJbG-2QBCRqe_Y9XLR4AZMH0rc6KvrYU/edit#heading=h.dxjhs5kkdl6w","E-mailer improvements")</f>
        <v>E-mailer improvements</v>
      </c>
      <c r="D772" s="476"/>
      <c r="E772" s="477" t="s">
        <v>3633</v>
      </c>
      <c r="F772" s="105"/>
      <c r="I772" s="105"/>
      <c r="J772" s="105"/>
      <c r="K772" s="92"/>
      <c r="L772" s="478"/>
      <c r="M772" s="92"/>
    </row>
    <row r="773">
      <c r="B773" s="333" t="s">
        <v>3634</v>
      </c>
      <c r="C773" s="334" t="str">
        <f>HYPERLINK("https://docs.google.com/document/d/1zZ-a_tkLGrbYJbG-2QBCRqe_Y9XLR4AZMH0rc6KvrYU/edit#heading=h.dxjhs5kkdl6w","Refactor review_mapping_controller")</f>
        <v>Refactor review_mapping_controller</v>
      </c>
      <c r="D773" s="476"/>
      <c r="E773" s="479" t="s">
        <v>3635</v>
      </c>
      <c r="F773" s="105"/>
      <c r="I773" s="105"/>
      <c r="J773" s="105"/>
      <c r="K773" s="92"/>
      <c r="L773" s="478"/>
      <c r="M773" s="92"/>
    </row>
    <row r="774">
      <c r="B774" s="333" t="s">
        <v>3552</v>
      </c>
      <c r="C774" s="334" t="str">
        <f>HYPERLINK("https://docs.google.com/document/d/1zZ-a_tkLGrbYJbG-2QBCRqe_Y9XLR4AZMH0rc6KvrYU/edit#heading=h.dxjhs5kkdl6w","Refactor signup code")</f>
        <v>Refactor signup code</v>
      </c>
      <c r="D774" s="476"/>
      <c r="E774" s="479" t="s">
        <v>3636</v>
      </c>
      <c r="F774" s="105"/>
      <c r="I774" s="105"/>
      <c r="J774" s="105"/>
      <c r="K774" s="92"/>
      <c r="L774" s="478"/>
      <c r="M774" s="92"/>
    </row>
    <row r="775">
      <c r="B775" s="333" t="s">
        <v>3637</v>
      </c>
      <c r="C775" s="334" t="str">
        <f>HYPERLINK("https://docs.google.com/document/d/1zZ-a_tkLGrbYJbG-2QBCRqe_Y9XLR4AZMH0rc6KvrYU/edit#heading=h.dxjhs5kkdl6w","Changes to permissions (rereview, etc.)")</f>
        <v>Changes to permissions (rereview, etc.)</v>
      </c>
      <c r="D775" s="476"/>
      <c r="E775" s="477" t="s">
        <v>3638</v>
      </c>
      <c r="F775" s="105"/>
      <c r="I775" s="105"/>
      <c r="J775" s="105"/>
      <c r="K775" s="92"/>
      <c r="L775" s="478"/>
      <c r="M775" s="92"/>
    </row>
    <row r="776">
      <c r="B776" s="333" t="s">
        <v>3639</v>
      </c>
      <c r="C776" s="334" t="str">
        <f>HYPERLINK("https://docs.google.com/document/d/1zZ-a_tkLGrbYJbG-2QBCRqe_Y9XLR4AZMH0rc6KvrYU/edit#heading=h.12ungao4fcig","Questionnaires and advice")</f>
        <v>Questionnaires and advice</v>
      </c>
      <c r="D776" s="476"/>
      <c r="E776" s="477" t="s">
        <v>3640</v>
      </c>
      <c r="F776" s="105"/>
      <c r="I776" s="105"/>
      <c r="J776" s="105"/>
      <c r="K776" s="92"/>
      <c r="L776" s="478"/>
      <c r="M776" s="92"/>
    </row>
    <row r="777">
      <c r="B777" s="333" t="s">
        <v>3641</v>
      </c>
      <c r="C777" s="334" t="str">
        <f>HYPERLINK("https://docs.google.com/document/d/1zZ-a_tkLGrbYJbG-2QBCRqe_Y9XLR4AZMH0rc6KvrYU/edit#heading=h.12ungao4fcig","Custom response code")</f>
        <v>Custom response code</v>
      </c>
      <c r="D777" s="476"/>
      <c r="E777" s="477" t="s">
        <v>3642</v>
      </c>
      <c r="F777" s="105"/>
      <c r="I777" s="105"/>
      <c r="J777" s="105"/>
      <c r="K777" s="92"/>
      <c r="L777" s="478"/>
      <c r="M777" s="92"/>
    </row>
    <row r="778">
      <c r="B778" s="333" t="s">
        <v>3643</v>
      </c>
      <c r="C778" s="334" t="str">
        <f>HYPERLINK("https://docs.google.com/document/d/1zZ-a_tkLGrbYJbG-2QBCRqe_Y9XLR4AZMH0rc6KvrYU/edit#heading=h.12ungao4fcig","Users")</f>
        <v>Users</v>
      </c>
      <c r="D778" s="476"/>
      <c r="E778" s="477" t="s">
        <v>3644</v>
      </c>
      <c r="F778" s="105"/>
      <c r="I778" s="105"/>
      <c r="J778" s="105"/>
      <c r="K778" s="92"/>
      <c r="L778" s="478"/>
      <c r="M778" s="92"/>
    </row>
    <row r="779">
      <c r="B779" s="333" t="s">
        <v>3645</v>
      </c>
      <c r="C779" s="334" t="str">
        <f>HYPERLINK("https://docs.google.com/document/d/1zZ-a_tkLGrbYJbG-2QBCRqe_Y9XLR4AZMH0rc6KvrYU/edit#heading=h.dxjhs5kkdl6w","Remove individual assignments (all assgts. team")</f>
        <v>Remove individual assignments (all assgts. team</v>
      </c>
      <c r="D779" s="476"/>
      <c r="E779" s="477" t="s">
        <v>3646</v>
      </c>
      <c r="F779" s="105"/>
      <c r="I779" s="105"/>
      <c r="J779" s="105"/>
      <c r="K779" s="92"/>
      <c r="L779" s="478"/>
      <c r="M779" s="92"/>
    </row>
    <row r="780">
      <c r="B780" s="333" t="s">
        <v>3647</v>
      </c>
      <c r="C780" s="334" t="str">
        <f>HYPERLINK("https://docs.google.com/document/d/1zZ-a_tkLGrbYJbG-2QBCRqe_Y9XLR4AZMH0rc6KvrYU/edit#heading=h.dxjhs5kkdl6w","Refactor assignment_participant.rb")</f>
        <v>Refactor assignment_participant.rb</v>
      </c>
      <c r="D780" s="476"/>
      <c r="E780" s="479" t="s">
        <v>3648</v>
      </c>
      <c r="F780" s="105"/>
      <c r="I780" s="105"/>
      <c r="J780" s="105"/>
      <c r="K780" s="92"/>
      <c r="L780" s="478"/>
      <c r="M780" s="92"/>
    </row>
    <row r="781">
      <c r="B781" s="333" t="s">
        <v>3649</v>
      </c>
      <c r="C781" s="334" t="str">
        <f>HYPERLINK("https://docs.google.com/document/d/1zZ-a_tkLGrbYJbG-2QBCRqe_Y9XLR4AZMH0rc6KvrYU/edit#heading=h.dxjhs5kkdl6w","Refactor assignment_controller")</f>
        <v>Refactor assignment_controller</v>
      </c>
      <c r="D781" s="476"/>
      <c r="E781" s="477" t="s">
        <v>3650</v>
      </c>
      <c r="F781" s="105"/>
      <c r="I781" s="105"/>
      <c r="J781" s="105"/>
      <c r="K781" s="92"/>
      <c r="L781" s="478"/>
      <c r="M781" s="92"/>
    </row>
    <row r="782">
      <c r="B782" s="333" t="s">
        <v>3651</v>
      </c>
      <c r="C782" s="334" t="str">
        <f>HYPERLINK("https://docs.google.com/document/d/1zZ-a_tkLGrbYJbG-2QBCRqe_Y9XLR4AZMH0rc6KvrYU/edit#heading=h.dxjhs5kkdl6w","Break up assignment.rb")</f>
        <v>Break up assignment.rb</v>
      </c>
      <c r="D782" s="476"/>
      <c r="E782" s="480" t="s">
        <v>3652</v>
      </c>
      <c r="F782" s="105"/>
      <c r="I782" s="105"/>
      <c r="J782" s="105"/>
      <c r="K782" s="92"/>
      <c r="L782" s="478"/>
      <c r="M782" s="92"/>
    </row>
    <row r="783">
      <c r="A783" s="203" t="s">
        <v>3653</v>
      </c>
      <c r="B783" s="204" t="s">
        <v>3654</v>
      </c>
      <c r="C783" s="205" t="str">
        <f>HYPERLINK("https://docs.google.com/document/d/121l851Qfb6jBe-UK13QYQtTRdfZ5a6Glw60tWhpgbzs/edit#","Notification of more kinds of events")</f>
        <v>Notification of more kinds of events</v>
      </c>
      <c r="D783" s="481"/>
      <c r="E783" s="482"/>
      <c r="F783" s="105"/>
      <c r="I783" s="105"/>
      <c r="J783" s="105"/>
      <c r="K783" s="92"/>
      <c r="L783" s="481"/>
      <c r="M783" s="92"/>
    </row>
    <row r="784">
      <c r="B784" s="204" t="s">
        <v>3655</v>
      </c>
      <c r="C784" s="205" t="str">
        <f>HYPERLINK("https://docs.google.com/document/d/121l851Qfb6jBe-UK13QYQtTRdfZ5a6Glw60tWhpgbzs/edit#","Integration with an LMS, with a goal of defining architecture for LMS plugins")</f>
        <v>Integration with an LMS, with a goal of defining architecture for LMS plugins</v>
      </c>
      <c r="D784" s="481"/>
      <c r="E784" s="482"/>
      <c r="F784" s="105"/>
      <c r="I784" s="105"/>
      <c r="J784" s="105"/>
      <c r="K784" s="92"/>
      <c r="L784" s="481"/>
      <c r="M784" s="92"/>
    </row>
    <row r="785">
      <c r="B785" s="204" t="s">
        <v>3656</v>
      </c>
      <c r="C785" s="205" t="str">
        <f>HYPERLINK("https://docs.google.com/document/d/121l851Qfb6jBe-UK13QYQtTRdfZ5a6Glw60tWhpgbzs/edit#","Publishability management")</f>
        <v>Publishability management</v>
      </c>
      <c r="D785" s="481"/>
      <c r="E785" s="482"/>
      <c r="F785" s="105"/>
      <c r="I785" s="105"/>
      <c r="J785" s="105"/>
      <c r="K785" s="92"/>
      <c r="L785" s="481"/>
      <c r="M785" s="92"/>
    </row>
    <row r="786">
      <c r="B786" s="204" t="s">
        <v>3657</v>
      </c>
      <c r="C786" s="205" t="str">
        <f>HYPERLINK("https://docs.google.com/document/d/121l851Qfb6jBe-UK13QYQtTRdfZ5a6Glw60tWhpgbzs/edit#","Google docs.")</f>
        <v>Google docs.</v>
      </c>
      <c r="D786" s="481"/>
      <c r="E786" s="482"/>
      <c r="F786" s="105"/>
      <c r="I786" s="105"/>
      <c r="J786" s="105"/>
      <c r="K786" s="92"/>
      <c r="L786" s="481"/>
      <c r="M786" s="92"/>
    </row>
    <row r="787">
      <c r="B787" s="204" t="s">
        <v>3658</v>
      </c>
      <c r="C787" s="205" t="str">
        <f>HYPERLINK("https://docs.google.com/document/d/121l851Qfb6jBe-UK13QYQtTRdfZ5a6Glw60tWhpgbzs/edit#","Code-review interface")</f>
        <v>Code-review interface</v>
      </c>
      <c r="D787" s="481"/>
      <c r="E787" s="482"/>
      <c r="F787" s="105"/>
      <c r="I787" s="105"/>
      <c r="J787" s="105"/>
      <c r="K787" s="92"/>
      <c r="L787" s="481"/>
      <c r="M787" s="92"/>
    </row>
    <row r="788">
      <c r="B788" s="204" t="s">
        <v>3659</v>
      </c>
      <c r="C788" s="205" t="str">
        <f>HYPERLINK("https://docs.google.com/document/d/121l851Qfb6jBe-UK13QYQtTRdfZ5a6Glw60tWhpgbzs/edit#","Social bookmarking")</f>
        <v>Social bookmarking</v>
      </c>
      <c r="D788" s="481"/>
      <c r="E788" s="482"/>
      <c r="F788" s="105"/>
      <c r="I788" s="105"/>
      <c r="J788" s="105"/>
      <c r="K788" s="92"/>
      <c r="L788" s="481"/>
      <c r="M788" s="92"/>
    </row>
    <row r="789">
      <c r="B789" s="204" t="s">
        <v>3660</v>
      </c>
      <c r="C789" s="205" t="str">
        <f>HYPERLINK("https://docs.google.com/document/d/121l851Qfb6jBe-UK13QYQtTRdfZ5a6Glw60tWhpgbzs/edit#","Enhancements to wiki textbook functionality.")</f>
        <v>Enhancements to wiki textbook functionality.</v>
      </c>
      <c r="D789" s="481"/>
      <c r="E789" s="482"/>
      <c r="F789" s="105"/>
      <c r="I789" s="105"/>
      <c r="J789" s="105"/>
      <c r="K789" s="92"/>
      <c r="L789" s="481"/>
      <c r="M789" s="92"/>
    </row>
    <row r="790">
      <c r="B790" s="204" t="s">
        <v>3661</v>
      </c>
      <c r="C790" s="205" t="str">
        <f>HYPERLINK("https://docs.google.com/document/d/121l851Qfb6jBe-UK13QYQtTRdfZ5a6Glw60tWhpgbzs/edit#","Rotation of teams, within a class")</f>
        <v>Rotation of teams, within a class</v>
      </c>
      <c r="D790" s="481"/>
      <c r="E790" s="482"/>
      <c r="F790" s="105"/>
      <c r="I790" s="105"/>
      <c r="J790" s="105"/>
      <c r="K790" s="92"/>
      <c r="L790" s="481"/>
      <c r="M790" s="92"/>
    </row>
    <row r="791">
      <c r="B791" s="204" t="s">
        <v>3662</v>
      </c>
      <c r="C791" s="205" t="str">
        <f>HYPERLINK("https://docs.google.com/document/d/121l851Qfb6jBe-UK13QYQtTRdfZ5a6Glw60tWhpgbzs/edit#","Dynamic reviewer assignment")</f>
        <v>Dynamic reviewer assignment</v>
      </c>
      <c r="D791" s="481"/>
      <c r="E791" s="482"/>
      <c r="F791" s="105"/>
      <c r="I791" s="105"/>
      <c r="J791" s="105"/>
      <c r="K791" s="92"/>
      <c r="L791" s="481"/>
      <c r="M791" s="92"/>
    </row>
    <row r="792">
      <c r="B792" s="204" t="s">
        <v>3663</v>
      </c>
      <c r="C792" s="205" t="str">
        <f>HYPERLINK("https://docs.google.com/document/d/121l851Qfb6jBe-UK13QYQtTRdfZ5a6Glw60tWhpgbzs/edit#","Quizzing")</f>
        <v>Quizzing</v>
      </c>
      <c r="D792" s="481"/>
      <c r="E792" s="482"/>
      <c r="F792" s="105"/>
      <c r="I792" s="105"/>
      <c r="J792" s="105"/>
      <c r="K792" s="92"/>
      <c r="L792" s="481"/>
      <c r="M792" s="92"/>
    </row>
    <row r="793">
      <c r="B793" s="204" t="s">
        <v>3664</v>
      </c>
      <c r="C793" s="205" t="str">
        <f>HYPERLINK("https://docs.google.com/document/d/121l851Qfb6jBe-UK13QYQtTRdfZ5a6Glw60tWhpgbzs/edit#","Message boards,")</f>
        <v>Message boards,</v>
      </c>
      <c r="D793" s="481"/>
      <c r="E793" s="482"/>
      <c r="F793" s="105"/>
      <c r="I793" s="105"/>
      <c r="J793" s="105"/>
      <c r="K793" s="92"/>
      <c r="L793" s="481"/>
      <c r="M793" s="92"/>
    </row>
    <row r="794">
      <c r="B794" s="204" t="s">
        <v>3665</v>
      </c>
      <c r="C794" s="205" t="str">
        <f>HYPERLINK("https://docs.google.com/document/d/121l851Qfb6jBe-UK13QYQtTRdfZ5a6Glw60tWhpgbzs/edit#","Finish the score cache.")</f>
        <v>Finish the score cache.</v>
      </c>
      <c r="D794" s="481"/>
      <c r="E794" s="482"/>
      <c r="F794" s="105"/>
      <c r="I794" s="105"/>
      <c r="J794" s="105"/>
      <c r="K794" s="92"/>
      <c r="L794" s="481"/>
      <c r="M794" s="92"/>
    </row>
    <row r="795">
      <c r="B795" s="204" t="s">
        <v>3666</v>
      </c>
      <c r="C795" s="205" t="str">
        <f>HYPERLINK("https://docs.google.com/document/d/121l851Qfb6jBe-UK13QYQtTRdfZ5a6Glw60tWhpgbzs/edit#","Enhancements to suggest &amp; approve")</f>
        <v>Enhancements to suggest &amp; approve</v>
      </c>
      <c r="D795" s="481"/>
      <c r="E795" s="482"/>
      <c r="F795" s="105"/>
      <c r="I795" s="105"/>
      <c r="J795" s="105"/>
      <c r="K795" s="92"/>
      <c r="L795" s="481"/>
      <c r="M795" s="92"/>
    </row>
    <row r="796">
      <c r="B796" s="204" t="s">
        <v>3667</v>
      </c>
      <c r="C796" s="205" t="str">
        <f>HYPERLINK("https://docs.google.com/document/d/121l851Qfb6jBe-UK13QYQtTRdfZ5a6Glw60tWhpgbzs/edit#","Better display for assignments")</f>
        <v>Better display for assignments</v>
      </c>
      <c r="D796" s="481"/>
      <c r="E796" s="482"/>
      <c r="F796" s="105"/>
      <c r="I796" s="105"/>
      <c r="J796" s="105"/>
      <c r="K796" s="92"/>
      <c r="L796" s="481"/>
      <c r="M796" s="92"/>
    </row>
    <row r="797">
      <c r="B797" s="204" t="s">
        <v>3668</v>
      </c>
      <c r="C797" s="205" t="str">
        <f>HYPERLINK("https://docs.google.com/document/d/121l851Qfb6jBe-UK13QYQtTRdfZ5a6Glw60tWhpgbzs/edit#","360-degree assessment")</f>
        <v>360-degree assessment</v>
      </c>
      <c r="D797" s="481"/>
      <c r="E797" s="482"/>
      <c r="F797" s="105"/>
      <c r="I797" s="105"/>
      <c r="J797" s="105"/>
      <c r="K797" s="92"/>
      <c r="L797" s="481"/>
      <c r="M797" s="92"/>
    </row>
    <row r="798">
      <c r="A798" s="460" t="s">
        <v>3669</v>
      </c>
      <c r="B798" s="461" t="s">
        <v>3670</v>
      </c>
      <c r="C798" s="462" t="str">
        <f>HYPERLINK("https://docs.google.com/document/d/1AuaRnvVosRqxTYPGORIF5fWfIdbBJSy4j5MjdIkZIWU/edit#","Fix unit test suite, and update existing unit tests")</f>
        <v>Fix unit test suite, and update existing unit tests</v>
      </c>
      <c r="D798" s="483"/>
      <c r="E798" s="484"/>
      <c r="F798" s="105"/>
      <c r="I798" s="105"/>
      <c r="J798" s="105"/>
      <c r="K798" s="92"/>
      <c r="L798" s="483"/>
      <c r="M798" s="92"/>
    </row>
    <row r="799">
      <c r="B799" s="461" t="s">
        <v>3671</v>
      </c>
      <c r="C799" s="462" t="str">
        <f>HYPERLINK("https://docs.google.com/document/d/1AuaRnvVosRqxTYPGORIF5fWfIdbBJSy4j5MjdIkZIWU/edit#","Acceptance testing with Cucumber and Watir")</f>
        <v>Acceptance testing with Cucumber and Watir</v>
      </c>
      <c r="D799" s="483"/>
      <c r="E799" s="484"/>
      <c r="F799" s="105"/>
      <c r="I799" s="105"/>
      <c r="J799" s="105"/>
      <c r="K799" s="92"/>
      <c r="L799" s="483"/>
      <c r="M799" s="92"/>
    </row>
    <row r="800">
      <c r="B800" s="461" t="s">
        <v>3672</v>
      </c>
      <c r="C800" s="462" t="str">
        <f>HYPERLINK("https://docs.google.com/document/d/1AuaRnvVosRqxTYPGORIF5fWfIdbBJSy4j5MjdIkZIWU/edit#","Replacing Goldberg")</f>
        <v>Replacing Goldberg</v>
      </c>
      <c r="D800" s="483"/>
      <c r="E800" s="484"/>
      <c r="F800" s="105"/>
      <c r="I800" s="105"/>
      <c r="J800" s="105"/>
      <c r="K800" s="92"/>
      <c r="L800" s="483"/>
      <c r="M800" s="92"/>
    </row>
    <row r="801">
      <c r="B801" s="461" t="s">
        <v>3673</v>
      </c>
      <c r="C801" s="462" t="str">
        <f>HYPERLINK("https://docs.google.com/document/d/1AuaRnvVosRqxTYPGORIF5fWfIdbBJSy4j5MjdIkZIWU/edit#","Checkbox, radio-button, and unscored questions for rubrics")</f>
        <v>Checkbox, radio-button, and unscored questions for rubrics</v>
      </c>
      <c r="D801" s="483"/>
      <c r="E801" s="484"/>
      <c r="F801" s="105"/>
      <c r="I801" s="105"/>
      <c r="J801" s="105"/>
      <c r="K801" s="92"/>
      <c r="L801" s="483"/>
      <c r="M801" s="92"/>
    </row>
    <row r="802">
      <c r="B802" s="461" t="s">
        <v>3674</v>
      </c>
      <c r="C802" s="462" t="str">
        <f>HYPERLINK("https://docs.google.com/document/d/1AuaRnvVosRqxTYPGORIF5fWfIdbBJSy4j5MjdIkZIWU/edit#","Self-selected reviewing")</f>
        <v>Self-selected reviewing</v>
      </c>
      <c r="D802" s="483"/>
      <c r="E802" s="484"/>
      <c r="F802" s="105"/>
      <c r="I802" s="105"/>
      <c r="J802" s="105"/>
      <c r="K802" s="92"/>
      <c r="L802" s="483"/>
      <c r="M802" s="92"/>
    </row>
    <row r="803">
      <c r="B803" s="461" t="s">
        <v>3675</v>
      </c>
      <c r="C803" s="462" t="str">
        <f>HYPERLINK("https://docs.google.com/document/d/1AuaRnvVosRqxTYPGORIF5fWfIdbBJSy4j5MjdIkZIWU/edit#","Self-assessment, manager assessment, role-based reviewing for teams, and reader assessment.")</f>
        <v>Self-assessment, manager assessment, role-based reviewing for teams, and reader assessment.</v>
      </c>
      <c r="D803" s="483"/>
      <c r="E803" s="484"/>
      <c r="F803" s="105"/>
      <c r="I803" s="105"/>
      <c r="J803" s="105"/>
      <c r="K803" s="92"/>
      <c r="L803" s="483"/>
      <c r="M803" s="92"/>
    </row>
    <row r="804">
      <c r="B804" s="461" t="s">
        <v>3676</v>
      </c>
      <c r="C804" s="462" t="str">
        <f>HYPERLINK("https://docs.google.com/document/d/1AuaRnvVosRqxTYPGORIF5fWfIdbBJSy4j5MjdIkZIWU/edit#","Task-list functionality")</f>
        <v>Task-list functionality</v>
      </c>
      <c r="D804" s="483"/>
      <c r="E804" s="484"/>
      <c r="F804" s="105"/>
      <c r="I804" s="105"/>
      <c r="J804" s="105"/>
      <c r="K804" s="92"/>
      <c r="L804" s="483"/>
      <c r="M804" s="92"/>
    </row>
    <row r="805">
      <c r="B805" s="461" t="s">
        <v>3677</v>
      </c>
      <c r="C805" s="462" t="str">
        <f>HYPERLINK("https://docs.google.com/document/d/1AuaRnvVosRqxTYPGORIF5fWfIdbBJSy4j5MjdIkZIWU/edit#","Credit for voluntary work")</f>
        <v>Credit for voluntary work</v>
      </c>
      <c r="D805" s="483"/>
      <c r="E805" s="484"/>
      <c r="F805" s="105"/>
      <c r="I805" s="105"/>
      <c r="J805" s="105"/>
      <c r="K805" s="92"/>
      <c r="L805" s="483"/>
      <c r="M805" s="92"/>
    </row>
    <row r="806">
      <c r="B806" s="461" t="s">
        <v>3678</v>
      </c>
      <c r="C806" s="462" t="str">
        <f>HYPERLINK("https://docs.google.com/document/d/1AuaRnvVosRqxTYPGORIF5fWfIdbBJSy4j5MjdIkZIWU/edit#","Microtasks and micropayments")</f>
        <v>Microtasks and micropayments</v>
      </c>
      <c r="D806" s="483"/>
      <c r="E806" s="484"/>
      <c r="F806" s="105"/>
      <c r="I806" s="105"/>
      <c r="J806" s="105"/>
      <c r="K806" s="92"/>
      <c r="L806" s="483"/>
      <c r="M806" s="92"/>
    </row>
    <row r="807">
      <c r="A807" s="485" t="s">
        <v>3679</v>
      </c>
      <c r="B807" s="486" t="s">
        <v>3680</v>
      </c>
      <c r="C807" s="487" t="str">
        <f>HYPERLINK("https://people.engr.ncsu.edu/efg/517/sum08/homework/project/ideas.html#E_signup","Signup-Sheet Integration")</f>
        <v>Signup-Sheet Integration</v>
      </c>
      <c r="D807" s="488"/>
      <c r="E807" s="489"/>
      <c r="F807" s="105"/>
      <c r="I807" s="105"/>
      <c r="J807" s="105"/>
      <c r="K807" s="92"/>
      <c r="L807" s="488"/>
      <c r="M807" s="92"/>
    </row>
    <row r="808">
      <c r="B808" s="486" t="s">
        <v>3681</v>
      </c>
      <c r="C808" s="487" t="str">
        <f>HYPERLINK("https://people.engr.ncsu.edu/efg/517/sum08/homework/project/ideas.html#E_deployment","Deployment and Notification")</f>
        <v>Deployment and Notification</v>
      </c>
      <c r="D808" s="488"/>
      <c r="E808" s="489"/>
      <c r="F808" s="105"/>
      <c r="I808" s="105"/>
      <c r="J808" s="105"/>
      <c r="K808" s="92"/>
      <c r="L808" s="488"/>
      <c r="M808" s="92"/>
    </row>
    <row r="809">
      <c r="B809" s="486" t="s">
        <v>3682</v>
      </c>
      <c r="C809" s="487" t="str">
        <f>HYPERLINK("https://people.engr.ncsu.edu/efg/517/sum08/homework/project/ideas.html#E_logging","Logging and Internationalization")</f>
        <v>Logging and Internationalization</v>
      </c>
      <c r="D809" s="488"/>
      <c r="E809" s="489"/>
      <c r="F809" s="105"/>
      <c r="I809" s="105"/>
      <c r="J809" s="105"/>
      <c r="K809" s="92"/>
      <c r="L809" s="488"/>
      <c r="M809" s="92"/>
    </row>
    <row r="810">
      <c r="B810" s="486" t="s">
        <v>3683</v>
      </c>
      <c r="C810" s="487" t="str">
        <f>HYPERLINK("https://people.engr.ncsu.edu/efg/517/sum08/homework/project/ideas.html#E_dynamic","Dynamic Reviewer Assignment")</f>
        <v>Dynamic Reviewer Assignment</v>
      </c>
      <c r="D810" s="488"/>
      <c r="E810" s="489"/>
      <c r="F810" s="105"/>
      <c r="I810" s="105"/>
      <c r="J810" s="105"/>
      <c r="K810" s="490"/>
      <c r="L810" s="488"/>
      <c r="M810" s="92"/>
    </row>
    <row r="811">
      <c r="B811" s="486" t="s">
        <v>3684</v>
      </c>
      <c r="C811" s="487" t="str">
        <f>HYPERLINK("https://people.engr.ncsu.edu/efg/517/sum08/homework/project/ideas.html#E_lists","Display and Sorting of Lists")</f>
        <v>Display and Sorting of Lists</v>
      </c>
      <c r="D811" s="488"/>
      <c r="E811" s="491"/>
      <c r="F811" s="105"/>
      <c r="I811" s="105"/>
      <c r="J811" s="105"/>
      <c r="K811" s="92"/>
      <c r="L811" s="488"/>
      <c r="M811" s="92"/>
    </row>
    <row r="812">
      <c r="B812" s="486" t="s">
        <v>3685</v>
      </c>
      <c r="C812" s="487" t="str">
        <f>HYPERLINK("https://people.engr.ncsu.edu/efg/517/sum08/homework/project/ideas.html#E_stratification","Randomization and Stratification of Surveys")</f>
        <v>Randomization and Stratification of Surveys</v>
      </c>
      <c r="D812" s="488"/>
      <c r="E812" s="489"/>
      <c r="F812" s="105"/>
      <c r="I812" s="105"/>
      <c r="J812" s="105"/>
      <c r="K812" s="92"/>
      <c r="L812" s="488"/>
      <c r="M812" s="92"/>
    </row>
    <row r="813">
      <c r="B813" s="486" t="s">
        <v>3686</v>
      </c>
      <c r="C813" s="487" t="str">
        <f>HYPERLINK("https://people.engr.ncsu.edu/efg/517/sum08/homework/project/ideas.html#E_Google","Google docs")</f>
        <v>Google docs</v>
      </c>
      <c r="D813" s="488"/>
      <c r="E813" s="489"/>
      <c r="F813" s="105"/>
      <c r="I813" s="105"/>
      <c r="J813" s="105"/>
      <c r="K813" s="92"/>
      <c r="L813" s="488"/>
      <c r="M813" s="92"/>
    </row>
    <row r="814">
      <c r="A814" s="492" t="s">
        <v>3687</v>
      </c>
      <c r="B814" s="493" t="s">
        <v>3680</v>
      </c>
      <c r="C814" s="494" t="str">
        <f>HYPERLINK("https://people.engr.ncsu.edu/efg/517/sum08/homework/project/ideas.html#E_signup","Signup-Sheet Integration")</f>
        <v>Signup-Sheet Integration</v>
      </c>
      <c r="D814" s="495"/>
      <c r="E814" s="496"/>
      <c r="F814" s="105"/>
      <c r="I814" s="105"/>
      <c r="J814" s="105"/>
      <c r="K814" s="92"/>
      <c r="L814" s="495"/>
      <c r="M814" s="92"/>
    </row>
    <row r="815">
      <c r="B815" s="493" t="s">
        <v>3681</v>
      </c>
      <c r="C815" s="494" t="str">
        <f>HYPERLINK("https://people.engr.ncsu.edu/efg/517/sum08/homework/project/ideas.html#E_deployment","Deployment and Notification")</f>
        <v>Deployment and Notification</v>
      </c>
      <c r="D815" s="495"/>
      <c r="E815" s="496"/>
      <c r="F815" s="105"/>
      <c r="I815" s="105"/>
      <c r="J815" s="105"/>
      <c r="K815" s="92"/>
      <c r="L815" s="495"/>
      <c r="M815" s="92"/>
    </row>
    <row r="816">
      <c r="B816" s="493" t="s">
        <v>3682</v>
      </c>
      <c r="C816" s="494" t="str">
        <f>HYPERLINK("https://people.engr.ncsu.edu/efg/517/sum08/homework/project/ideas.html#E_logging","Logging and Internationalization")</f>
        <v>Logging and Internationalization</v>
      </c>
      <c r="D816" s="495"/>
      <c r="E816" s="496"/>
      <c r="F816" s="105"/>
      <c r="I816" s="105"/>
      <c r="J816" s="105"/>
      <c r="K816" s="92"/>
      <c r="L816" s="495"/>
      <c r="M816" s="92"/>
    </row>
    <row r="817">
      <c r="B817" s="493" t="s">
        <v>3683</v>
      </c>
      <c r="C817" s="494" t="str">
        <f>HYPERLINK("https://people.engr.ncsu.edu/efg/517/sum08/homework/project/ideas.html#E_dynamic","Dynamic Reviewer Assignment")</f>
        <v>Dynamic Reviewer Assignment</v>
      </c>
      <c r="D817" s="495"/>
      <c r="E817" s="496"/>
      <c r="F817" s="105"/>
      <c r="I817" s="105"/>
      <c r="J817" s="105"/>
      <c r="K817" s="92"/>
      <c r="L817" s="495"/>
      <c r="M817" s="92"/>
    </row>
    <row r="818">
      <c r="B818" s="493" t="s">
        <v>3684</v>
      </c>
      <c r="C818" s="494" t="str">
        <f>HYPERLINK("https://people.engr.ncsu.edu/efg/517/sum08/homework/project/ideas.html#E_lists","Display and Sorting of Lists")</f>
        <v>Display and Sorting of Lists</v>
      </c>
      <c r="D818" s="495"/>
      <c r="E818" s="496"/>
      <c r="F818" s="105"/>
      <c r="I818" s="105"/>
      <c r="J818" s="105"/>
      <c r="K818" s="92"/>
      <c r="L818" s="495"/>
      <c r="M818" s="92"/>
    </row>
    <row r="819">
      <c r="B819" s="493" t="s">
        <v>3685</v>
      </c>
      <c r="C819" s="494" t="str">
        <f>HYPERLINK("https://people.engr.ncsu.edu/efg/517/sum08/homework/project/ideas.html#E_stratification","Randomization and Stratification of Surveys")</f>
        <v>Randomization and Stratification of Surveys</v>
      </c>
      <c r="D819" s="495"/>
      <c r="E819" s="496"/>
      <c r="F819" s="105"/>
      <c r="I819" s="105"/>
      <c r="J819" s="105"/>
      <c r="K819" s="92"/>
      <c r="L819" s="495"/>
      <c r="M819" s="92"/>
    </row>
    <row r="820">
      <c r="B820" s="493" t="s">
        <v>3686</v>
      </c>
      <c r="C820" s="494" t="str">
        <f>HYPERLINK("https://people.engr.ncsu.edu/efg/517/sum08/homework/project/ideas.html#E_Google","Google docs")</f>
        <v>Google docs</v>
      </c>
      <c r="D820" s="495"/>
      <c r="E820" s="496"/>
      <c r="F820" s="105"/>
      <c r="I820" s="105"/>
      <c r="J820" s="105"/>
      <c r="K820" s="92"/>
      <c r="L820" s="495"/>
      <c r="M820" s="92"/>
    </row>
    <row r="821">
      <c r="A821" s="497" t="s">
        <v>3688</v>
      </c>
      <c r="B821" s="498" t="s">
        <v>3689</v>
      </c>
      <c r="C821" s="499" t="str">
        <f>HYPERLINK("https://people.engr.ncsu.edu/efg/517/f07/homework/project/ideas.html#G_portlet","Java Mail portlet for Geronimo")</f>
        <v>Java Mail portlet for Geronimo</v>
      </c>
      <c r="D821" s="500"/>
      <c r="E821" s="501"/>
      <c r="F821" s="105"/>
      <c r="I821" s="105"/>
      <c r="J821" s="105"/>
      <c r="K821" s="92"/>
      <c r="L821" s="500"/>
      <c r="M821" s="92"/>
    </row>
    <row r="822">
      <c r="B822" s="498" t="s">
        <v>3690</v>
      </c>
      <c r="C822" s="499" t="str">
        <f>HYPERLINK("https://people.engr.ncsu.edu/efg/517/f07/homework/project/ideas.html#G_internationalization","Internationalization of the Geronimo admin console")</f>
        <v>Internationalization of the Geronimo admin console</v>
      </c>
      <c r="D822" s="500"/>
      <c r="E822" s="501"/>
      <c r="F822" s="105"/>
      <c r="I822" s="105"/>
      <c r="J822" s="105"/>
      <c r="K822" s="92"/>
      <c r="L822" s="500"/>
      <c r="M822" s="92"/>
    </row>
    <row r="823">
      <c r="B823" s="498" t="s">
        <v>3691</v>
      </c>
      <c r="C823" s="499" t="str">
        <f>HYPERLINK("https://people.engr.ncsu.edu/efg/517/f07/homework/project/ideas.html#G_mail_test#G_mail_test","Framework for a Java mail test suite in Geronimo")</f>
        <v>Framework for a Java mail test suite in Geronimo</v>
      </c>
      <c r="D823" s="500"/>
      <c r="E823" s="501"/>
      <c r="F823" s="105"/>
      <c r="I823" s="105"/>
      <c r="J823" s="105"/>
      <c r="K823" s="92"/>
      <c r="L823" s="500"/>
      <c r="M823" s="92"/>
    </row>
    <row r="824">
      <c r="B824" s="498" t="s">
        <v>3692</v>
      </c>
      <c r="C824" s="502" t="str">
        <f>HYPERLINK("https://people.engr.ncsu.edu/efg/517/f07/homework/project/ideas.html","More complex JFreeChart dataset")</f>
        <v>More complex JFreeChart dataset</v>
      </c>
      <c r="D824" s="500"/>
      <c r="E824" s="501"/>
      <c r="F824" s="105"/>
      <c r="I824" s="105"/>
      <c r="J824" s="105"/>
      <c r="K824" s="92"/>
      <c r="L824" s="500"/>
      <c r="M824" s="92"/>
    </row>
    <row r="825">
      <c r="B825" s="498" t="s">
        <v>3693</v>
      </c>
      <c r="C825" s="499" t="str">
        <f>HYPERLINK("https://people.engr.ncsu.edu/efg/517/f07/homework/project/ideas.html#J_applet","JFreeChart chart-component applet")</f>
        <v>JFreeChart chart-component applet</v>
      </c>
      <c r="D825" s="500"/>
      <c r="E825" s="501"/>
      <c r="F825" s="105"/>
      <c r="I825" s="105"/>
      <c r="J825" s="105"/>
      <c r="K825" s="92"/>
      <c r="L825" s="500"/>
      <c r="M825" s="92"/>
    </row>
    <row r="826">
      <c r="B826" s="498" t="s">
        <v>3694</v>
      </c>
      <c r="C826" s="499" t="str">
        <f>HYPERLINK("https://people.engr.ncsu.edu/efg/517/f07/homework/project/ideas.html#B_dashboard","A Dashboard Plugin for Buddi")</f>
        <v>A Dashboard Plugin for Buddi</v>
      </c>
      <c r="D826" s="500"/>
      <c r="E826" s="501"/>
      <c r="F826" s="105"/>
      <c r="I826" s="105"/>
      <c r="J826" s="105"/>
      <c r="K826" s="92"/>
      <c r="L826" s="500"/>
      <c r="M826" s="92"/>
    </row>
    <row r="827">
      <c r="B827" s="498" t="s">
        <v>3695</v>
      </c>
      <c r="C827" s="499" t="str">
        <f>HYPERLINK("https://people.engr.ncsu.edu/efg/517/f07/homework/project/ideas.html#E_course_eval","Course-Evaluation Module")</f>
        <v>Course-Evaluation Module</v>
      </c>
      <c r="D827" s="500"/>
      <c r="E827" s="501"/>
      <c r="F827" s="105"/>
      <c r="I827" s="105"/>
      <c r="J827" s="105"/>
      <c r="K827" s="92"/>
      <c r="L827" s="500"/>
      <c r="M827" s="92"/>
    </row>
    <row r="828">
      <c r="B828" s="498" t="s">
        <v>3696</v>
      </c>
      <c r="C828" s="499" t="str">
        <f>HYPERLINK("https://people.engr.ncsu.edu/efg/517/f07/homework/project/ideas.html#E_logging","Logging and Internationalization")</f>
        <v>Logging and Internationalization</v>
      </c>
      <c r="D828" s="500"/>
      <c r="E828" s="501"/>
      <c r="F828" s="105"/>
      <c r="I828" s="105"/>
      <c r="J828" s="105"/>
      <c r="K828" s="92"/>
      <c r="L828" s="500"/>
      <c r="M828" s="92"/>
    </row>
    <row r="829">
      <c r="B829" s="498" t="s">
        <v>3697</v>
      </c>
      <c r="C829" s="499" t="str">
        <f>HYPERLINK("https://people.engr.ncsu.edu/efg/517/f07/homework/project/ideas.html#E_metasurveys","Metasurveys and Rubric Advice")</f>
        <v>Metasurveys and Rubric Advice</v>
      </c>
      <c r="D829" s="500"/>
      <c r="E829" s="501"/>
      <c r="F829" s="105"/>
      <c r="I829" s="105"/>
      <c r="J829" s="105"/>
      <c r="K829" s="92"/>
      <c r="L829" s="500"/>
      <c r="M829" s="92"/>
    </row>
    <row r="830">
      <c r="B830" s="498" t="s">
        <v>3698</v>
      </c>
      <c r="C830" s="499" t="str">
        <f>HYPERLINK("https://people.engr.ncsu.edu/efg/517/f07/homework/project/ideas.html#E_refactoring","Refactoring of View Code, Including CSS")</f>
        <v>Refactoring of View Code, Including CSS</v>
      </c>
      <c r="D830" s="500"/>
      <c r="E830" s="501"/>
      <c r="F830" s="105"/>
      <c r="I830" s="105"/>
      <c r="J830" s="105"/>
      <c r="K830" s="92"/>
      <c r="L830" s="500"/>
      <c r="M830" s="92"/>
    </row>
    <row r="831">
      <c r="B831" s="498" t="s">
        <v>3699</v>
      </c>
      <c r="C831" s="499" t="str">
        <f>HYPERLINK("https://people.engr.ncsu.edu/efg/517/f07/homework/project/ideas.html#E_Shimmer","Signup-Sheet Integration, Including Waitlisting")</f>
        <v>Signup-Sheet Integration, Including Waitlisting</v>
      </c>
      <c r="D831" s="500"/>
      <c r="E831" s="501"/>
      <c r="F831" s="105"/>
      <c r="I831" s="105"/>
      <c r="J831" s="105"/>
      <c r="K831" s="92"/>
      <c r="L831" s="500"/>
      <c r="M831" s="92"/>
    </row>
    <row r="832">
      <c r="B832" s="498" t="s">
        <v>3700</v>
      </c>
      <c r="C832" s="499" t="str">
        <f>HYPERLINK("https://people.engr.ncsu.edu/efg/517/f07/homework/project/ideas.html#E_test","Unit and Functional Tests")</f>
        <v>Unit and Functional Tests</v>
      </c>
      <c r="D832" s="500"/>
      <c r="E832" s="501"/>
      <c r="F832" s="105"/>
      <c r="I832" s="105"/>
      <c r="J832" s="105"/>
      <c r="K832" s="92"/>
      <c r="L832" s="500"/>
      <c r="M832" s="92"/>
    </row>
    <row r="833">
      <c r="B833" s="498" t="s">
        <v>3701</v>
      </c>
      <c r="C833" s="499" t="str">
        <f>HYPERLINK("https://people.engr.ncsu.edu/efg/517/f07/homework/project/ideas.html#E_feedback","More Flexibility in Feedback")</f>
        <v>More Flexibility in Feedback</v>
      </c>
      <c r="D833" s="500"/>
      <c r="E833" s="501"/>
      <c r="F833" s="105"/>
      <c r="I833" s="105"/>
      <c r="J833" s="105"/>
      <c r="K833" s="92"/>
      <c r="L833" s="500"/>
      <c r="M833" s="92"/>
    </row>
    <row r="834">
      <c r="A834" s="103"/>
      <c r="C834" s="92"/>
      <c r="E834" s="92"/>
      <c r="F834" s="105"/>
      <c r="I834" s="105"/>
      <c r="J834" s="105"/>
      <c r="K834" s="92"/>
      <c r="M834" s="92"/>
    </row>
    <row r="835">
      <c r="A835" s="103"/>
      <c r="C835" s="92"/>
      <c r="E835" s="92"/>
      <c r="F835" s="105"/>
      <c r="I835" s="105"/>
      <c r="J835" s="105"/>
      <c r="K835" s="92"/>
      <c r="M835" s="92"/>
    </row>
    <row r="836">
      <c r="A836" s="103"/>
      <c r="C836" s="92"/>
      <c r="E836" s="92"/>
      <c r="F836" s="105"/>
      <c r="I836" s="105"/>
      <c r="J836" s="105"/>
      <c r="K836" s="92"/>
      <c r="M836" s="92"/>
    </row>
    <row r="837">
      <c r="A837" s="103"/>
      <c r="C837" s="92"/>
      <c r="E837" s="92"/>
      <c r="F837" s="105"/>
      <c r="I837" s="105"/>
      <c r="J837" s="105"/>
      <c r="K837" s="92"/>
      <c r="M837" s="92"/>
    </row>
    <row r="838">
      <c r="A838" s="103"/>
      <c r="C838" s="92"/>
      <c r="E838" s="92"/>
      <c r="F838" s="105"/>
      <c r="I838" s="105"/>
      <c r="J838" s="105"/>
      <c r="K838" s="92"/>
      <c r="M838" s="92"/>
    </row>
    <row r="839">
      <c r="A839" s="103"/>
      <c r="C839" s="92"/>
      <c r="E839" s="503"/>
      <c r="F839" s="105"/>
      <c r="I839" s="105"/>
      <c r="J839" s="105"/>
      <c r="K839" s="92"/>
      <c r="M839" s="92"/>
    </row>
    <row r="840">
      <c r="A840" s="103"/>
      <c r="C840" s="92"/>
      <c r="E840" s="503"/>
      <c r="F840" s="105"/>
      <c r="I840" s="105"/>
      <c r="J840" s="105"/>
      <c r="K840" s="92"/>
      <c r="M840" s="92"/>
    </row>
    <row r="841">
      <c r="A841" s="103"/>
      <c r="C841" s="92"/>
      <c r="E841" s="504"/>
      <c r="F841" s="105"/>
      <c r="I841" s="105"/>
      <c r="J841" s="105"/>
      <c r="K841" s="92"/>
      <c r="M841" s="92"/>
    </row>
    <row r="842">
      <c r="A842" s="103"/>
      <c r="C842" s="92"/>
      <c r="E842" s="92"/>
      <c r="F842" s="105"/>
      <c r="I842" s="105"/>
      <c r="J842" s="105"/>
      <c r="K842" s="92"/>
      <c r="M842" s="92"/>
    </row>
    <row r="843">
      <c r="A843" s="103"/>
      <c r="C843" s="92"/>
      <c r="E843" s="92"/>
      <c r="F843" s="105"/>
      <c r="I843" s="105"/>
      <c r="J843" s="105"/>
      <c r="K843" s="92"/>
      <c r="M843" s="92"/>
    </row>
    <row r="844">
      <c r="A844" s="103"/>
      <c r="C844" s="92"/>
      <c r="E844" s="92"/>
      <c r="F844" s="105"/>
      <c r="I844" s="105"/>
      <c r="J844" s="105"/>
      <c r="K844" s="92"/>
      <c r="M844" s="92"/>
    </row>
    <row r="845">
      <c r="A845" s="103"/>
      <c r="C845" s="92"/>
      <c r="E845" s="92"/>
      <c r="F845" s="105"/>
      <c r="I845" s="105"/>
      <c r="J845" s="105"/>
      <c r="K845" s="92"/>
      <c r="M845" s="92"/>
    </row>
    <row r="846">
      <c r="A846" s="103"/>
      <c r="C846" s="92"/>
      <c r="E846" s="92"/>
      <c r="F846" s="105"/>
      <c r="I846" s="105"/>
      <c r="J846" s="105"/>
      <c r="K846" s="92"/>
      <c r="M846" s="92"/>
    </row>
    <row r="847">
      <c r="A847" s="103"/>
      <c r="C847" s="92"/>
      <c r="E847" s="92"/>
      <c r="F847" s="105"/>
      <c r="I847" s="105"/>
      <c r="J847" s="105"/>
      <c r="K847" s="92"/>
      <c r="M847" s="92"/>
    </row>
    <row r="848">
      <c r="A848" s="103"/>
      <c r="C848" s="92"/>
      <c r="E848" s="92"/>
      <c r="F848" s="105"/>
      <c r="I848" s="105"/>
      <c r="J848" s="105"/>
      <c r="K848" s="92"/>
      <c r="M848" s="92"/>
    </row>
    <row r="849">
      <c r="A849" s="103"/>
      <c r="C849" s="92"/>
      <c r="E849" s="90"/>
      <c r="F849" s="105"/>
      <c r="I849" s="105"/>
      <c r="J849" s="105"/>
      <c r="K849" s="92"/>
      <c r="M849" s="92"/>
    </row>
    <row r="850">
      <c r="A850" s="103"/>
      <c r="C850" s="92"/>
      <c r="E850" s="90"/>
      <c r="F850" s="105"/>
      <c r="I850" s="105"/>
      <c r="J850" s="105"/>
      <c r="K850" s="92"/>
      <c r="M850" s="92"/>
    </row>
    <row r="851">
      <c r="A851" s="103"/>
      <c r="C851" s="92"/>
      <c r="E851" s="90"/>
      <c r="F851" s="105"/>
      <c r="I851" s="105"/>
      <c r="J851" s="105"/>
      <c r="K851" s="92"/>
      <c r="M851" s="92"/>
    </row>
    <row r="852">
      <c r="A852" s="103"/>
      <c r="C852" s="92"/>
      <c r="E852" s="90"/>
      <c r="F852" s="105"/>
      <c r="I852" s="105"/>
      <c r="J852" s="105"/>
      <c r="K852" s="92"/>
      <c r="M852" s="92"/>
    </row>
    <row r="853">
      <c r="A853" s="103"/>
      <c r="C853" s="92"/>
      <c r="E853" s="90"/>
      <c r="F853" s="105"/>
      <c r="I853" s="105"/>
      <c r="J853" s="105"/>
      <c r="K853" s="92"/>
      <c r="M853" s="92"/>
    </row>
    <row r="854">
      <c r="A854" s="103"/>
      <c r="C854" s="92"/>
      <c r="E854" s="92"/>
      <c r="F854" s="105"/>
      <c r="I854" s="105"/>
      <c r="J854" s="105"/>
      <c r="K854" s="92"/>
      <c r="M854" s="92"/>
    </row>
    <row r="855">
      <c r="A855" s="103"/>
      <c r="C855" s="92"/>
      <c r="E855" s="92"/>
      <c r="F855" s="105"/>
      <c r="I855" s="105"/>
      <c r="J855" s="105"/>
      <c r="K855" s="92"/>
      <c r="M855" s="92"/>
    </row>
    <row r="856">
      <c r="A856" s="103"/>
      <c r="C856" s="92"/>
      <c r="E856" s="92"/>
      <c r="F856" s="105"/>
      <c r="I856" s="105"/>
      <c r="J856" s="105"/>
      <c r="K856" s="92"/>
      <c r="M856" s="92"/>
    </row>
    <row r="857">
      <c r="A857" s="103"/>
      <c r="C857" s="92"/>
      <c r="E857" s="92"/>
      <c r="F857" s="105"/>
      <c r="I857" s="105"/>
      <c r="J857" s="105"/>
      <c r="K857" s="92"/>
      <c r="M857" s="92"/>
    </row>
    <row r="858">
      <c r="A858" s="103"/>
      <c r="C858" s="92"/>
      <c r="E858" s="92"/>
      <c r="F858" s="105"/>
      <c r="I858" s="105"/>
      <c r="J858" s="105"/>
      <c r="K858" s="92"/>
      <c r="M858" s="92"/>
    </row>
    <row r="859">
      <c r="A859" s="103"/>
      <c r="C859" s="92"/>
      <c r="E859" s="92"/>
      <c r="F859" s="105"/>
      <c r="I859" s="105"/>
      <c r="J859" s="105"/>
      <c r="K859" s="92"/>
      <c r="M859" s="92"/>
    </row>
    <row r="860">
      <c r="A860" s="103"/>
      <c r="C860" s="92"/>
      <c r="E860" s="92"/>
      <c r="F860" s="105"/>
      <c r="I860" s="105"/>
      <c r="J860" s="105"/>
      <c r="K860" s="92"/>
      <c r="M860" s="92"/>
    </row>
    <row r="861">
      <c r="A861" s="103"/>
      <c r="C861" s="92"/>
      <c r="E861" s="92"/>
      <c r="F861" s="105"/>
      <c r="I861" s="105"/>
      <c r="J861" s="105"/>
      <c r="K861" s="92"/>
      <c r="M861" s="92"/>
    </row>
    <row r="862">
      <c r="A862" s="103"/>
      <c r="C862" s="92"/>
      <c r="E862" s="92"/>
      <c r="F862" s="105"/>
      <c r="I862" s="105"/>
      <c r="J862" s="105"/>
      <c r="K862" s="92"/>
      <c r="M862" s="92"/>
    </row>
    <row r="863">
      <c r="A863" s="103"/>
      <c r="C863" s="118"/>
      <c r="E863" s="92"/>
      <c r="F863" s="105"/>
      <c r="I863" s="105"/>
      <c r="J863" s="105"/>
      <c r="K863" s="92"/>
      <c r="M863" s="92"/>
    </row>
    <row r="864">
      <c r="A864" s="103"/>
      <c r="C864" s="118"/>
      <c r="E864" s="92"/>
      <c r="F864" s="105"/>
      <c r="I864" s="105"/>
      <c r="J864" s="105"/>
      <c r="K864" s="92"/>
      <c r="M864" s="92"/>
    </row>
    <row r="865">
      <c r="A865" s="103"/>
      <c r="C865" s="92"/>
      <c r="E865" s="92"/>
      <c r="F865" s="105"/>
      <c r="I865" s="105"/>
      <c r="J865" s="105"/>
      <c r="K865" s="92"/>
      <c r="M865" s="92"/>
    </row>
    <row r="866">
      <c r="A866" s="103"/>
      <c r="C866" s="92"/>
      <c r="E866" s="92"/>
      <c r="F866" s="105"/>
      <c r="I866" s="105"/>
      <c r="J866" s="105"/>
      <c r="K866" s="92"/>
      <c r="M866" s="92"/>
    </row>
    <row r="867">
      <c r="A867" s="103"/>
      <c r="C867" s="92"/>
      <c r="E867" s="92"/>
      <c r="F867" s="105"/>
      <c r="I867" s="105"/>
      <c r="J867" s="105"/>
      <c r="K867" s="92"/>
      <c r="M867" s="92"/>
    </row>
    <row r="868">
      <c r="A868" s="103"/>
      <c r="C868" s="92"/>
      <c r="E868" s="92"/>
      <c r="F868" s="105"/>
      <c r="I868" s="105"/>
      <c r="J868" s="105"/>
      <c r="K868" s="92"/>
      <c r="M868" s="92"/>
    </row>
    <row r="869">
      <c r="A869" s="103"/>
      <c r="C869" s="92"/>
      <c r="E869" s="92"/>
      <c r="F869" s="105"/>
      <c r="I869" s="105"/>
      <c r="J869" s="105"/>
      <c r="K869" s="92"/>
      <c r="M869" s="92"/>
    </row>
    <row r="870">
      <c r="A870" s="103"/>
      <c r="C870" s="92"/>
      <c r="E870" s="92"/>
      <c r="F870" s="105"/>
      <c r="I870" s="105"/>
      <c r="J870" s="105"/>
      <c r="K870" s="92"/>
      <c r="M870" s="92"/>
    </row>
    <row r="871">
      <c r="A871" s="103"/>
      <c r="C871" s="92"/>
      <c r="E871" s="92"/>
      <c r="F871" s="105"/>
      <c r="I871" s="105"/>
      <c r="J871" s="105"/>
      <c r="K871" s="92"/>
      <c r="M871" s="92"/>
    </row>
    <row r="872">
      <c r="A872" s="103"/>
      <c r="C872" s="92"/>
      <c r="E872" s="92"/>
      <c r="F872" s="105"/>
      <c r="I872" s="105"/>
      <c r="J872" s="105"/>
      <c r="K872" s="92"/>
      <c r="M872" s="92"/>
    </row>
    <row r="873">
      <c r="A873" s="103"/>
      <c r="C873" s="92"/>
      <c r="E873" s="92"/>
      <c r="F873" s="105"/>
      <c r="I873" s="105"/>
      <c r="J873" s="105"/>
      <c r="K873" s="92"/>
      <c r="M873" s="92"/>
    </row>
    <row r="874">
      <c r="A874" s="103"/>
      <c r="C874" s="92"/>
      <c r="E874" s="92"/>
      <c r="F874" s="105"/>
      <c r="I874" s="105"/>
      <c r="J874" s="105"/>
      <c r="K874" s="92"/>
      <c r="M874" s="92"/>
    </row>
    <row r="875">
      <c r="A875" s="103"/>
      <c r="C875" s="92"/>
      <c r="E875" s="92"/>
      <c r="F875" s="105"/>
      <c r="I875" s="105"/>
      <c r="J875" s="105"/>
      <c r="K875" s="92"/>
      <c r="M875" s="92"/>
    </row>
    <row r="876">
      <c r="A876" s="103"/>
      <c r="C876" s="92"/>
      <c r="E876" s="92"/>
      <c r="F876" s="105"/>
      <c r="I876" s="105"/>
      <c r="J876" s="105"/>
      <c r="K876" s="92"/>
      <c r="M876" s="92"/>
    </row>
    <row r="877">
      <c r="A877" s="103"/>
      <c r="C877" s="92"/>
      <c r="E877" s="92"/>
      <c r="F877" s="105"/>
      <c r="I877" s="105"/>
      <c r="J877" s="105"/>
      <c r="K877" s="92"/>
      <c r="M877" s="92"/>
    </row>
    <row r="878">
      <c r="A878" s="103"/>
      <c r="C878" s="92"/>
      <c r="E878" s="92"/>
      <c r="F878" s="105"/>
      <c r="I878" s="105"/>
      <c r="J878" s="105"/>
      <c r="K878" s="92"/>
      <c r="M878" s="92"/>
    </row>
    <row r="879">
      <c r="A879" s="103"/>
      <c r="C879" s="92"/>
      <c r="E879" s="92"/>
      <c r="F879" s="105"/>
      <c r="I879" s="105"/>
      <c r="J879" s="105"/>
      <c r="K879" s="92"/>
      <c r="M879" s="92"/>
    </row>
    <row r="880">
      <c r="A880" s="103"/>
      <c r="C880" s="92"/>
      <c r="E880" s="92"/>
      <c r="F880" s="105"/>
      <c r="I880" s="105"/>
      <c r="J880" s="105"/>
      <c r="K880" s="92"/>
      <c r="M880" s="92"/>
    </row>
    <row r="881">
      <c r="A881" s="103"/>
      <c r="C881" s="92"/>
      <c r="E881" s="92"/>
      <c r="F881" s="105"/>
      <c r="I881" s="105"/>
      <c r="J881" s="105"/>
      <c r="K881" s="92"/>
      <c r="M881" s="92"/>
    </row>
    <row r="882">
      <c r="A882" s="103"/>
      <c r="C882" s="92"/>
      <c r="E882" s="92"/>
      <c r="F882" s="105"/>
      <c r="I882" s="105"/>
      <c r="J882" s="105"/>
      <c r="K882" s="92"/>
      <c r="M882" s="92"/>
    </row>
    <row r="883">
      <c r="A883" s="103"/>
      <c r="C883" s="92"/>
      <c r="E883" s="92"/>
      <c r="F883" s="105"/>
      <c r="I883" s="105"/>
      <c r="J883" s="105"/>
      <c r="K883" s="92"/>
      <c r="M883" s="92"/>
    </row>
    <row r="884">
      <c r="A884" s="103"/>
      <c r="C884" s="92"/>
      <c r="E884" s="92"/>
      <c r="F884" s="105"/>
      <c r="I884" s="105"/>
      <c r="J884" s="105"/>
      <c r="K884" s="92"/>
      <c r="M884" s="92"/>
    </row>
    <row r="885">
      <c r="A885" s="103"/>
      <c r="C885" s="92"/>
      <c r="E885" s="92"/>
      <c r="F885" s="105"/>
      <c r="I885" s="105"/>
      <c r="J885" s="105"/>
      <c r="K885" s="92"/>
      <c r="M885" s="92"/>
    </row>
    <row r="886">
      <c r="A886" s="103"/>
      <c r="C886" s="92"/>
      <c r="E886" s="92"/>
      <c r="F886" s="105"/>
      <c r="I886" s="105"/>
      <c r="J886" s="105"/>
      <c r="K886" s="92"/>
      <c r="M886" s="92"/>
    </row>
    <row r="887">
      <c r="A887" s="103"/>
      <c r="C887" s="92"/>
      <c r="E887" s="92"/>
      <c r="F887" s="105"/>
      <c r="I887" s="105"/>
      <c r="J887" s="105"/>
      <c r="K887" s="92"/>
      <c r="M887" s="92"/>
    </row>
    <row r="888">
      <c r="A888" s="103"/>
      <c r="C888" s="92"/>
      <c r="E888" s="92"/>
      <c r="F888" s="105"/>
      <c r="I888" s="105"/>
      <c r="J888" s="105"/>
      <c r="K888" s="92"/>
      <c r="M888" s="92"/>
    </row>
    <row r="889">
      <c r="A889" s="103"/>
      <c r="C889" s="92"/>
      <c r="E889" s="92"/>
      <c r="F889" s="105"/>
      <c r="I889" s="105"/>
      <c r="J889" s="105"/>
      <c r="K889" s="92"/>
      <c r="M889" s="92"/>
    </row>
    <row r="890">
      <c r="A890" s="103"/>
      <c r="C890" s="92"/>
      <c r="E890" s="92"/>
      <c r="F890" s="105"/>
      <c r="I890" s="105"/>
      <c r="J890" s="105"/>
      <c r="K890" s="92"/>
      <c r="M890" s="92"/>
    </row>
    <row r="891">
      <c r="A891" s="103"/>
      <c r="C891" s="92"/>
      <c r="E891" s="92"/>
      <c r="F891" s="105"/>
      <c r="I891" s="105"/>
      <c r="J891" s="105"/>
      <c r="K891" s="92"/>
      <c r="M891" s="92"/>
    </row>
    <row r="892">
      <c r="A892" s="103"/>
      <c r="C892" s="92"/>
      <c r="E892" s="92"/>
      <c r="F892" s="105"/>
      <c r="I892" s="105"/>
      <c r="J892" s="105"/>
      <c r="K892" s="92"/>
      <c r="M892" s="92"/>
    </row>
    <row r="893">
      <c r="A893" s="103"/>
      <c r="C893" s="92"/>
      <c r="E893" s="92"/>
      <c r="F893" s="105"/>
      <c r="I893" s="105"/>
      <c r="J893" s="105"/>
      <c r="K893" s="92"/>
      <c r="M893" s="92"/>
    </row>
    <row r="894">
      <c r="A894" s="103"/>
      <c r="C894" s="92"/>
      <c r="E894" s="92"/>
      <c r="F894" s="105"/>
      <c r="I894" s="105"/>
      <c r="J894" s="105"/>
      <c r="K894" s="92"/>
      <c r="M894" s="92"/>
    </row>
    <row r="895">
      <c r="A895" s="103"/>
      <c r="C895" s="92"/>
      <c r="E895" s="92"/>
      <c r="F895" s="105"/>
      <c r="I895" s="105"/>
      <c r="J895" s="105"/>
      <c r="K895" s="92"/>
      <c r="M895" s="92"/>
    </row>
    <row r="896">
      <c r="A896" s="103"/>
      <c r="C896" s="92"/>
      <c r="E896" s="92"/>
      <c r="F896" s="105"/>
      <c r="I896" s="105"/>
      <c r="J896" s="105"/>
      <c r="K896" s="92"/>
      <c r="M896" s="92"/>
    </row>
    <row r="897">
      <c r="A897" s="103"/>
      <c r="C897" s="92"/>
      <c r="E897" s="92"/>
      <c r="F897" s="105"/>
      <c r="I897" s="105"/>
      <c r="J897" s="105"/>
      <c r="K897" s="92"/>
      <c r="M897" s="92"/>
    </row>
    <row r="898">
      <c r="A898" s="103"/>
      <c r="C898" s="92"/>
      <c r="E898" s="92"/>
      <c r="F898" s="105"/>
      <c r="I898" s="105"/>
      <c r="J898" s="105"/>
      <c r="K898" s="92"/>
      <c r="M898" s="92"/>
    </row>
    <row r="899">
      <c r="A899" s="103"/>
      <c r="C899" s="92"/>
      <c r="E899" s="92"/>
      <c r="F899" s="105"/>
      <c r="I899" s="105"/>
      <c r="J899" s="105"/>
      <c r="K899" s="92"/>
      <c r="M899" s="92"/>
    </row>
    <row r="900">
      <c r="A900" s="103"/>
      <c r="C900" s="92"/>
      <c r="E900" s="92"/>
      <c r="F900" s="105"/>
      <c r="I900" s="105"/>
      <c r="J900" s="105"/>
      <c r="K900" s="92"/>
      <c r="M900" s="92"/>
    </row>
    <row r="901">
      <c r="A901" s="103"/>
      <c r="C901" s="92"/>
      <c r="E901" s="92"/>
      <c r="F901" s="105"/>
      <c r="I901" s="105"/>
      <c r="J901" s="105"/>
      <c r="K901" s="92"/>
      <c r="M901" s="92"/>
    </row>
    <row r="902">
      <c r="A902" s="103"/>
      <c r="C902" s="92"/>
      <c r="E902" s="92"/>
      <c r="F902" s="105"/>
      <c r="I902" s="105"/>
      <c r="J902" s="105"/>
      <c r="K902" s="92"/>
      <c r="M902" s="92"/>
    </row>
    <row r="903">
      <c r="A903" s="103"/>
      <c r="C903" s="92"/>
      <c r="E903" s="92"/>
      <c r="F903" s="105"/>
      <c r="I903" s="105"/>
      <c r="J903" s="105"/>
      <c r="K903" s="92"/>
      <c r="M903" s="92"/>
    </row>
    <row r="904">
      <c r="A904" s="103"/>
      <c r="C904" s="92"/>
      <c r="E904" s="92"/>
      <c r="F904" s="105"/>
      <c r="I904" s="105"/>
      <c r="J904" s="105"/>
      <c r="K904" s="92"/>
      <c r="M904" s="92"/>
    </row>
    <row r="905">
      <c r="A905" s="103"/>
      <c r="C905" s="92"/>
      <c r="E905" s="92"/>
      <c r="F905" s="105"/>
      <c r="I905" s="105"/>
      <c r="J905" s="105"/>
      <c r="K905" s="92"/>
      <c r="M905" s="92"/>
    </row>
    <row r="906">
      <c r="A906" s="103"/>
      <c r="C906" s="92"/>
      <c r="E906" s="92"/>
      <c r="F906" s="105"/>
      <c r="I906" s="105"/>
      <c r="J906" s="105"/>
      <c r="K906" s="92"/>
      <c r="M906" s="92"/>
    </row>
    <row r="907">
      <c r="A907" s="103"/>
      <c r="C907" s="92"/>
      <c r="E907" s="92"/>
      <c r="F907" s="105"/>
      <c r="I907" s="105"/>
      <c r="J907" s="105"/>
      <c r="K907" s="92"/>
      <c r="M907" s="92"/>
    </row>
    <row r="908">
      <c r="A908" s="103"/>
      <c r="C908" s="92"/>
      <c r="E908" s="92"/>
      <c r="F908" s="105"/>
      <c r="I908" s="105"/>
      <c r="J908" s="105"/>
      <c r="K908" s="92"/>
      <c r="M908" s="92"/>
    </row>
    <row r="909">
      <c r="A909" s="103"/>
      <c r="C909" s="92"/>
      <c r="E909" s="92"/>
      <c r="F909" s="105"/>
      <c r="I909" s="105"/>
      <c r="J909" s="105"/>
      <c r="K909" s="92"/>
      <c r="M909" s="92"/>
    </row>
    <row r="910">
      <c r="A910" s="103"/>
      <c r="C910" s="92"/>
      <c r="E910" s="92"/>
      <c r="F910" s="105"/>
      <c r="I910" s="105"/>
      <c r="J910" s="105"/>
      <c r="K910" s="92"/>
      <c r="M910" s="92"/>
    </row>
    <row r="911">
      <c r="A911" s="103"/>
      <c r="C911" s="92"/>
      <c r="E911" s="92"/>
      <c r="F911" s="105"/>
      <c r="I911" s="105"/>
      <c r="J911" s="105"/>
      <c r="K911" s="92"/>
      <c r="M911" s="92"/>
    </row>
    <row r="912">
      <c r="A912" s="103"/>
      <c r="C912" s="92"/>
      <c r="E912" s="92"/>
      <c r="F912" s="105"/>
      <c r="I912" s="105"/>
      <c r="J912" s="105"/>
      <c r="K912" s="92"/>
      <c r="M912" s="92"/>
    </row>
    <row r="913">
      <c r="A913" s="103"/>
      <c r="C913" s="92"/>
      <c r="E913" s="92"/>
      <c r="F913" s="105"/>
      <c r="I913" s="105"/>
      <c r="J913" s="105"/>
      <c r="K913" s="92"/>
      <c r="M913" s="92"/>
    </row>
    <row r="914">
      <c r="A914" s="103"/>
      <c r="C914" s="92"/>
      <c r="E914" s="92"/>
      <c r="F914" s="105"/>
      <c r="I914" s="105"/>
      <c r="J914" s="105"/>
      <c r="K914" s="92"/>
      <c r="M914" s="92"/>
    </row>
    <row r="915">
      <c r="A915" s="103"/>
      <c r="C915" s="92"/>
      <c r="E915" s="92"/>
      <c r="F915" s="105"/>
      <c r="I915" s="105"/>
      <c r="J915" s="105"/>
      <c r="K915" s="92"/>
      <c r="M915" s="92"/>
    </row>
    <row r="916">
      <c r="A916" s="103"/>
      <c r="C916" s="92"/>
      <c r="E916" s="92"/>
      <c r="F916" s="105"/>
      <c r="I916" s="105"/>
      <c r="J916" s="105"/>
      <c r="K916" s="92"/>
      <c r="M916" s="92"/>
    </row>
    <row r="917">
      <c r="A917" s="103"/>
      <c r="C917" s="92"/>
      <c r="E917" s="92"/>
      <c r="F917" s="105"/>
      <c r="I917" s="105"/>
      <c r="J917" s="105"/>
      <c r="K917" s="92"/>
      <c r="M917" s="92"/>
    </row>
    <row r="918">
      <c r="A918" s="103"/>
      <c r="C918" s="92"/>
      <c r="E918" s="92"/>
      <c r="F918" s="105"/>
      <c r="I918" s="105"/>
      <c r="J918" s="105"/>
      <c r="K918" s="92"/>
      <c r="M918" s="92"/>
    </row>
    <row r="919">
      <c r="A919" s="103"/>
      <c r="C919" s="92"/>
      <c r="E919" s="92"/>
      <c r="F919" s="105"/>
      <c r="I919" s="105"/>
      <c r="J919" s="105"/>
      <c r="K919" s="92"/>
      <c r="M919" s="92"/>
    </row>
    <row r="920">
      <c r="A920" s="103"/>
      <c r="C920" s="92"/>
      <c r="E920" s="92"/>
      <c r="F920" s="105"/>
      <c r="I920" s="105"/>
      <c r="J920" s="105"/>
      <c r="K920" s="92"/>
      <c r="M920" s="92"/>
    </row>
    <row r="921">
      <c r="A921" s="103"/>
      <c r="C921" s="92"/>
      <c r="E921" s="92"/>
      <c r="F921" s="105"/>
      <c r="I921" s="105"/>
      <c r="J921" s="105"/>
      <c r="K921" s="92"/>
      <c r="M921" s="92"/>
    </row>
    <row r="922">
      <c r="A922" s="103"/>
      <c r="C922" s="92"/>
      <c r="E922" s="92"/>
      <c r="F922" s="105"/>
      <c r="I922" s="105"/>
      <c r="J922" s="105"/>
      <c r="K922" s="92"/>
      <c r="M922" s="92"/>
    </row>
    <row r="923">
      <c r="A923" s="103"/>
      <c r="C923" s="92"/>
      <c r="E923" s="92"/>
      <c r="F923" s="105"/>
      <c r="I923" s="105"/>
      <c r="J923" s="105"/>
      <c r="K923" s="92"/>
      <c r="M923" s="92"/>
    </row>
    <row r="924">
      <c r="A924" s="103"/>
      <c r="C924" s="92"/>
      <c r="E924" s="92"/>
      <c r="F924" s="105"/>
      <c r="I924" s="105"/>
      <c r="J924" s="105"/>
      <c r="K924" s="92"/>
      <c r="M924" s="92"/>
    </row>
    <row r="925">
      <c r="A925" s="103"/>
      <c r="C925" s="92"/>
      <c r="E925" s="92"/>
      <c r="F925" s="105"/>
      <c r="I925" s="105"/>
      <c r="J925" s="105"/>
      <c r="K925" s="92"/>
      <c r="M925" s="92"/>
    </row>
    <row r="926">
      <c r="A926" s="103"/>
      <c r="C926" s="92"/>
      <c r="E926" s="92"/>
      <c r="F926" s="105"/>
      <c r="I926" s="105"/>
      <c r="J926" s="105"/>
      <c r="K926" s="92"/>
      <c r="M926" s="92"/>
    </row>
    <row r="927">
      <c r="A927" s="103"/>
      <c r="C927" s="92"/>
      <c r="E927" s="92"/>
      <c r="F927" s="105"/>
      <c r="I927" s="105"/>
      <c r="J927" s="105"/>
      <c r="K927" s="92"/>
      <c r="M927" s="92"/>
    </row>
    <row r="928">
      <c r="A928" s="103"/>
      <c r="C928" s="92"/>
      <c r="E928" s="92"/>
      <c r="F928" s="105"/>
      <c r="I928" s="105"/>
      <c r="J928" s="105"/>
      <c r="K928" s="92"/>
      <c r="M928" s="92"/>
    </row>
    <row r="929">
      <c r="A929" s="103"/>
      <c r="C929" s="92"/>
      <c r="E929" s="92"/>
      <c r="F929" s="105"/>
      <c r="I929" s="105"/>
      <c r="J929" s="105"/>
      <c r="K929" s="92"/>
      <c r="M929" s="92"/>
    </row>
    <row r="930">
      <c r="A930" s="103"/>
      <c r="C930" s="92"/>
      <c r="E930" s="92"/>
      <c r="F930" s="105"/>
      <c r="I930" s="105"/>
      <c r="J930" s="105"/>
      <c r="K930" s="92"/>
      <c r="M930" s="92"/>
    </row>
    <row r="931">
      <c r="A931" s="103"/>
      <c r="C931" s="92"/>
      <c r="E931" s="92"/>
      <c r="F931" s="105"/>
      <c r="I931" s="105"/>
      <c r="J931" s="105"/>
      <c r="K931" s="92"/>
      <c r="M931" s="92"/>
    </row>
    <row r="932">
      <c r="A932" s="103"/>
      <c r="C932" s="92"/>
      <c r="E932" s="92"/>
      <c r="F932" s="105"/>
      <c r="I932" s="105"/>
      <c r="J932" s="105"/>
      <c r="K932" s="92"/>
      <c r="M932" s="92"/>
    </row>
    <row r="933">
      <c r="A933" s="103"/>
      <c r="C933" s="92"/>
      <c r="E933" s="92"/>
      <c r="F933" s="105"/>
      <c r="I933" s="105"/>
      <c r="J933" s="105"/>
      <c r="K933" s="92"/>
      <c r="M933" s="92"/>
    </row>
    <row r="934">
      <c r="A934" s="103"/>
      <c r="C934" s="92"/>
      <c r="E934" s="92"/>
      <c r="F934" s="105"/>
      <c r="I934" s="105"/>
      <c r="J934" s="105"/>
      <c r="K934" s="92"/>
      <c r="M934" s="92"/>
    </row>
    <row r="935">
      <c r="A935" s="103"/>
      <c r="C935" s="92"/>
      <c r="E935" s="92"/>
      <c r="F935" s="105"/>
      <c r="I935" s="105"/>
      <c r="J935" s="105"/>
      <c r="K935" s="92"/>
      <c r="M935" s="92"/>
    </row>
    <row r="936">
      <c r="A936" s="103"/>
      <c r="C936" s="92"/>
      <c r="E936" s="92"/>
      <c r="F936" s="105"/>
      <c r="I936" s="105"/>
      <c r="J936" s="105"/>
      <c r="K936" s="92"/>
      <c r="M936" s="92"/>
    </row>
    <row r="937">
      <c r="A937" s="103"/>
      <c r="C937" s="92"/>
      <c r="E937" s="92"/>
      <c r="F937" s="105"/>
      <c r="I937" s="105"/>
      <c r="J937" s="105"/>
      <c r="K937" s="92"/>
      <c r="M937" s="92"/>
    </row>
    <row r="938">
      <c r="A938" s="103"/>
      <c r="C938" s="92"/>
      <c r="E938" s="92"/>
      <c r="F938" s="105"/>
      <c r="I938" s="105"/>
      <c r="J938" s="105"/>
      <c r="K938" s="92"/>
      <c r="M938" s="92"/>
    </row>
    <row r="939">
      <c r="A939" s="103"/>
      <c r="C939" s="92"/>
      <c r="E939" s="92"/>
      <c r="F939" s="105"/>
      <c r="I939" s="105"/>
      <c r="J939" s="105"/>
      <c r="K939" s="92"/>
      <c r="M939" s="92"/>
    </row>
    <row r="940">
      <c r="A940" s="103"/>
      <c r="C940" s="92"/>
      <c r="E940" s="92"/>
      <c r="F940" s="105"/>
      <c r="I940" s="105"/>
      <c r="J940" s="105"/>
      <c r="K940" s="92"/>
      <c r="M940" s="92"/>
    </row>
    <row r="941">
      <c r="A941" s="103"/>
      <c r="C941" s="92"/>
      <c r="E941" s="92"/>
      <c r="F941" s="105"/>
      <c r="I941" s="105"/>
      <c r="J941" s="105"/>
      <c r="K941" s="92"/>
      <c r="M941" s="92"/>
    </row>
    <row r="942">
      <c r="A942" s="103"/>
      <c r="C942" s="92"/>
      <c r="E942" s="92"/>
      <c r="F942" s="105"/>
      <c r="I942" s="105"/>
      <c r="J942" s="105"/>
      <c r="K942" s="92"/>
      <c r="M942" s="92"/>
    </row>
    <row r="943">
      <c r="A943" s="103"/>
      <c r="C943" s="92"/>
      <c r="E943" s="92"/>
      <c r="F943" s="105"/>
      <c r="I943" s="105"/>
      <c r="J943" s="105"/>
      <c r="K943" s="92"/>
      <c r="M943" s="92"/>
    </row>
    <row r="944">
      <c r="A944" s="103"/>
      <c r="C944" s="92"/>
      <c r="E944" s="92"/>
      <c r="F944" s="105"/>
      <c r="I944" s="105"/>
      <c r="J944" s="105"/>
      <c r="K944" s="92"/>
      <c r="M944" s="92"/>
    </row>
    <row r="945">
      <c r="A945" s="103"/>
      <c r="C945" s="92"/>
      <c r="E945" s="92"/>
      <c r="F945" s="105"/>
      <c r="I945" s="105"/>
      <c r="J945" s="105"/>
      <c r="K945" s="92"/>
      <c r="M945" s="92"/>
    </row>
    <row r="946">
      <c r="A946" s="103"/>
      <c r="C946" s="92"/>
      <c r="E946" s="92"/>
      <c r="F946" s="105"/>
      <c r="I946" s="105"/>
      <c r="J946" s="105"/>
      <c r="K946" s="92"/>
      <c r="M946" s="92"/>
    </row>
    <row r="947">
      <c r="A947" s="103"/>
      <c r="C947" s="92"/>
      <c r="E947" s="92"/>
      <c r="F947" s="105"/>
      <c r="I947" s="105"/>
      <c r="J947" s="105"/>
      <c r="K947" s="92"/>
      <c r="M947" s="92"/>
    </row>
    <row r="948">
      <c r="A948" s="103"/>
      <c r="C948" s="92"/>
      <c r="E948" s="92"/>
      <c r="F948" s="105"/>
      <c r="I948" s="105"/>
      <c r="J948" s="105"/>
      <c r="K948" s="92"/>
      <c r="M948" s="92"/>
    </row>
    <row r="949">
      <c r="A949" s="103"/>
      <c r="C949" s="92"/>
      <c r="E949" s="92"/>
      <c r="F949" s="105"/>
      <c r="I949" s="105"/>
      <c r="J949" s="105"/>
      <c r="K949" s="92"/>
      <c r="M949" s="92"/>
    </row>
    <row r="950">
      <c r="A950" s="103"/>
      <c r="C950" s="92"/>
      <c r="E950" s="92"/>
      <c r="F950" s="105"/>
      <c r="I950" s="105"/>
      <c r="J950" s="105"/>
      <c r="K950" s="92"/>
      <c r="M950" s="92"/>
    </row>
    <row r="951">
      <c r="A951" s="103"/>
      <c r="C951" s="92"/>
      <c r="E951" s="92"/>
      <c r="F951" s="105"/>
      <c r="I951" s="105"/>
      <c r="J951" s="105"/>
      <c r="K951" s="92"/>
      <c r="M951" s="92"/>
    </row>
    <row r="952">
      <c r="A952" s="103"/>
      <c r="C952" s="92"/>
      <c r="E952" s="92"/>
      <c r="F952" s="105"/>
      <c r="I952" s="105"/>
      <c r="J952" s="105"/>
      <c r="K952" s="92"/>
      <c r="M952" s="92"/>
    </row>
    <row r="953">
      <c r="A953" s="103"/>
      <c r="C953" s="92"/>
      <c r="E953" s="92"/>
      <c r="F953" s="105"/>
      <c r="I953" s="105"/>
      <c r="J953" s="105"/>
      <c r="K953" s="92"/>
      <c r="M953" s="92"/>
    </row>
    <row r="954">
      <c r="A954" s="103"/>
      <c r="C954" s="92"/>
      <c r="E954" s="92"/>
      <c r="F954" s="105"/>
      <c r="I954" s="105"/>
      <c r="J954" s="105"/>
      <c r="K954" s="92"/>
      <c r="M954" s="92"/>
    </row>
    <row r="955">
      <c r="A955" s="103"/>
      <c r="C955" s="92"/>
      <c r="E955" s="92"/>
      <c r="F955" s="105"/>
      <c r="I955" s="105"/>
      <c r="J955" s="105"/>
      <c r="K955" s="92"/>
      <c r="M955" s="92"/>
    </row>
    <row r="956">
      <c r="A956" s="103"/>
      <c r="C956" s="92"/>
      <c r="E956" s="92"/>
      <c r="F956" s="105"/>
      <c r="I956" s="105"/>
      <c r="J956" s="105"/>
      <c r="K956" s="92"/>
      <c r="M956" s="92"/>
    </row>
    <row r="957">
      <c r="A957" s="103"/>
      <c r="C957" s="92"/>
      <c r="E957" s="92"/>
      <c r="F957" s="105"/>
      <c r="I957" s="105"/>
      <c r="J957" s="105"/>
      <c r="K957" s="92"/>
      <c r="M957" s="92"/>
    </row>
    <row r="958">
      <c r="A958" s="103"/>
      <c r="C958" s="92"/>
      <c r="E958" s="92"/>
      <c r="F958" s="105"/>
      <c r="I958" s="105"/>
      <c r="J958" s="105"/>
      <c r="K958" s="92"/>
      <c r="M958" s="92"/>
    </row>
    <row r="959">
      <c r="A959" s="103"/>
      <c r="C959" s="92"/>
      <c r="E959" s="92"/>
      <c r="F959" s="105"/>
      <c r="I959" s="105"/>
      <c r="J959" s="105"/>
      <c r="K959" s="92"/>
      <c r="M959" s="92"/>
    </row>
    <row r="960">
      <c r="A960" s="103"/>
      <c r="C960" s="92"/>
      <c r="E960" s="92"/>
      <c r="F960" s="105"/>
      <c r="I960" s="105"/>
      <c r="J960" s="105"/>
      <c r="K960" s="92"/>
      <c r="M960" s="92"/>
    </row>
    <row r="961">
      <c r="A961" s="103"/>
      <c r="C961" s="92"/>
      <c r="E961" s="92"/>
      <c r="F961" s="105"/>
      <c r="I961" s="105"/>
      <c r="J961" s="105"/>
      <c r="K961" s="92"/>
      <c r="M961" s="92"/>
    </row>
    <row r="962">
      <c r="A962" s="103"/>
      <c r="C962" s="92"/>
      <c r="E962" s="92"/>
      <c r="F962" s="105"/>
      <c r="I962" s="105"/>
      <c r="J962" s="105"/>
      <c r="K962" s="92"/>
      <c r="M962" s="92"/>
    </row>
    <row r="963">
      <c r="A963" s="103"/>
      <c r="C963" s="92"/>
      <c r="E963" s="92"/>
      <c r="F963" s="105"/>
      <c r="I963" s="105"/>
      <c r="J963" s="105"/>
      <c r="K963" s="92"/>
      <c r="M963" s="92"/>
    </row>
    <row r="964">
      <c r="A964" s="103"/>
      <c r="C964" s="92"/>
      <c r="E964" s="92"/>
      <c r="F964" s="105"/>
      <c r="I964" s="105"/>
      <c r="J964" s="105"/>
      <c r="K964" s="92"/>
      <c r="M964" s="92"/>
    </row>
    <row r="965">
      <c r="A965" s="103"/>
      <c r="C965" s="92"/>
      <c r="E965" s="92"/>
      <c r="F965" s="105"/>
      <c r="I965" s="105"/>
      <c r="J965" s="105"/>
      <c r="K965" s="92"/>
      <c r="M965" s="92"/>
    </row>
    <row r="966">
      <c r="A966" s="103"/>
      <c r="C966" s="92"/>
      <c r="E966" s="92"/>
      <c r="F966" s="105"/>
      <c r="I966" s="105"/>
      <c r="J966" s="105"/>
      <c r="K966" s="92"/>
      <c r="M966" s="92"/>
    </row>
    <row r="967">
      <c r="A967" s="103"/>
      <c r="C967" s="92"/>
      <c r="E967" s="92"/>
      <c r="F967" s="105"/>
      <c r="I967" s="105"/>
      <c r="J967" s="105"/>
      <c r="K967" s="92"/>
      <c r="M967" s="92"/>
    </row>
    <row r="968">
      <c r="A968" s="103"/>
      <c r="C968" s="92"/>
      <c r="E968" s="92"/>
      <c r="F968" s="105"/>
      <c r="I968" s="105"/>
      <c r="J968" s="105"/>
      <c r="K968" s="92"/>
      <c r="M968" s="92"/>
    </row>
    <row r="969">
      <c r="A969" s="103"/>
      <c r="C969" s="92"/>
      <c r="E969" s="92"/>
      <c r="F969" s="105"/>
      <c r="I969" s="105"/>
      <c r="J969" s="105"/>
      <c r="K969" s="92"/>
      <c r="M969" s="92"/>
    </row>
    <row r="970">
      <c r="A970" s="103"/>
      <c r="C970" s="92"/>
      <c r="E970" s="92"/>
      <c r="F970" s="105"/>
      <c r="I970" s="105"/>
      <c r="J970" s="105"/>
      <c r="K970" s="92"/>
      <c r="M970" s="92"/>
    </row>
    <row r="971">
      <c r="A971" s="103"/>
      <c r="C971" s="92"/>
      <c r="E971" s="92"/>
      <c r="F971" s="105"/>
      <c r="I971" s="105"/>
      <c r="J971" s="105"/>
      <c r="K971" s="92"/>
      <c r="M971" s="92"/>
    </row>
    <row r="972">
      <c r="A972" s="103"/>
      <c r="C972" s="92"/>
      <c r="E972" s="92"/>
      <c r="F972" s="105"/>
      <c r="I972" s="105"/>
      <c r="J972" s="105"/>
      <c r="K972" s="92"/>
      <c r="M972" s="92"/>
    </row>
    <row r="973">
      <c r="A973" s="103"/>
      <c r="C973" s="92"/>
      <c r="E973" s="92"/>
      <c r="F973" s="105"/>
      <c r="I973" s="105"/>
      <c r="J973" s="105"/>
      <c r="K973" s="92"/>
      <c r="M973" s="92"/>
    </row>
    <row r="974">
      <c r="A974" s="103"/>
      <c r="C974" s="92"/>
      <c r="E974" s="92"/>
      <c r="F974" s="105"/>
      <c r="I974" s="105"/>
      <c r="J974" s="105"/>
      <c r="K974" s="92"/>
      <c r="M974" s="92"/>
    </row>
    <row r="975">
      <c r="A975" s="103"/>
      <c r="C975" s="92"/>
      <c r="E975" s="92"/>
      <c r="F975" s="105"/>
      <c r="I975" s="105"/>
      <c r="J975" s="105"/>
      <c r="K975" s="92"/>
      <c r="M975" s="92"/>
    </row>
    <row r="976">
      <c r="A976" s="103"/>
      <c r="C976" s="92"/>
      <c r="E976" s="92"/>
      <c r="F976" s="105"/>
      <c r="I976" s="105"/>
      <c r="J976" s="105"/>
      <c r="K976" s="92"/>
      <c r="M976" s="92"/>
    </row>
    <row r="977">
      <c r="A977" s="103"/>
      <c r="C977" s="92"/>
      <c r="E977" s="92"/>
      <c r="F977" s="105"/>
      <c r="I977" s="105"/>
      <c r="J977" s="105"/>
      <c r="K977" s="92"/>
      <c r="M977" s="92"/>
    </row>
    <row r="978">
      <c r="A978" s="103"/>
      <c r="C978" s="92"/>
      <c r="E978" s="92"/>
      <c r="F978" s="105"/>
      <c r="I978" s="105"/>
      <c r="J978" s="105"/>
      <c r="K978" s="92"/>
      <c r="M978" s="92"/>
    </row>
    <row r="979">
      <c r="A979" s="103"/>
      <c r="C979" s="92"/>
      <c r="E979" s="92"/>
      <c r="F979" s="105"/>
      <c r="I979" s="105"/>
      <c r="J979" s="105"/>
      <c r="K979" s="92"/>
      <c r="M979" s="92"/>
    </row>
    <row r="980">
      <c r="A980" s="103"/>
      <c r="C980" s="92"/>
      <c r="E980" s="92"/>
      <c r="F980" s="105"/>
      <c r="I980" s="105"/>
      <c r="J980" s="105"/>
      <c r="K980" s="92"/>
      <c r="M980" s="92"/>
    </row>
    <row r="981">
      <c r="A981" s="103"/>
      <c r="C981" s="92"/>
      <c r="E981" s="92"/>
      <c r="F981" s="105"/>
      <c r="I981" s="105"/>
      <c r="J981" s="105"/>
      <c r="K981" s="92"/>
      <c r="M981" s="92"/>
    </row>
    <row r="982">
      <c r="A982" s="103"/>
      <c r="C982" s="92"/>
      <c r="E982" s="92"/>
      <c r="F982" s="105"/>
      <c r="I982" s="105"/>
      <c r="J982" s="105"/>
      <c r="K982" s="92"/>
      <c r="M982" s="92"/>
    </row>
    <row r="983">
      <c r="A983" s="103"/>
      <c r="C983" s="92"/>
      <c r="E983" s="92"/>
      <c r="F983" s="105"/>
      <c r="I983" s="105"/>
      <c r="J983" s="105"/>
      <c r="K983" s="92"/>
      <c r="M983" s="92"/>
    </row>
    <row r="984">
      <c r="A984" s="103"/>
      <c r="C984" s="92"/>
      <c r="E984" s="92"/>
      <c r="F984" s="105"/>
      <c r="I984" s="105"/>
      <c r="J984" s="105"/>
      <c r="K984" s="92"/>
      <c r="M984" s="92"/>
    </row>
    <row r="985">
      <c r="A985" s="103"/>
      <c r="C985" s="92"/>
      <c r="E985" s="92"/>
      <c r="F985" s="105"/>
      <c r="I985" s="105"/>
      <c r="J985" s="105"/>
      <c r="K985" s="92"/>
      <c r="M985" s="92"/>
    </row>
    <row r="986">
      <c r="A986" s="103"/>
      <c r="C986" s="92"/>
      <c r="E986" s="92"/>
      <c r="F986" s="105"/>
      <c r="I986" s="105"/>
      <c r="J986" s="105"/>
      <c r="K986" s="92"/>
      <c r="M986" s="92"/>
    </row>
    <row r="987">
      <c r="A987" s="103"/>
      <c r="C987" s="92"/>
      <c r="E987" s="92"/>
      <c r="F987" s="105"/>
      <c r="I987" s="105"/>
      <c r="J987" s="105"/>
      <c r="K987" s="92"/>
      <c r="M987" s="92"/>
    </row>
    <row r="988">
      <c r="A988" s="103"/>
      <c r="C988" s="92"/>
      <c r="E988" s="92"/>
      <c r="F988" s="105"/>
      <c r="I988" s="105"/>
      <c r="J988" s="105"/>
      <c r="K988" s="92"/>
      <c r="M988" s="92"/>
    </row>
    <row r="989">
      <c r="A989" s="103"/>
      <c r="C989" s="92"/>
      <c r="E989" s="92"/>
      <c r="F989" s="105"/>
      <c r="I989" s="105"/>
      <c r="J989" s="105"/>
      <c r="K989" s="92"/>
      <c r="M989" s="92"/>
    </row>
    <row r="990">
      <c r="A990" s="103"/>
      <c r="C990" s="92"/>
      <c r="E990" s="92"/>
      <c r="F990" s="105"/>
      <c r="I990" s="105"/>
      <c r="J990" s="105"/>
      <c r="K990" s="92"/>
      <c r="M990" s="92"/>
    </row>
    <row r="991">
      <c r="A991" s="103"/>
      <c r="C991" s="92"/>
      <c r="E991" s="92"/>
      <c r="F991" s="105"/>
      <c r="I991" s="105"/>
      <c r="J991" s="105"/>
      <c r="K991" s="92"/>
      <c r="M991" s="92"/>
    </row>
    <row r="992">
      <c r="A992" s="103"/>
      <c r="C992" s="92"/>
      <c r="E992" s="92"/>
      <c r="F992" s="105"/>
      <c r="I992" s="105"/>
      <c r="J992" s="105"/>
      <c r="K992" s="92"/>
      <c r="M992" s="92"/>
    </row>
    <row r="993">
      <c r="A993" s="103"/>
      <c r="C993" s="92"/>
      <c r="E993" s="92"/>
      <c r="F993" s="105"/>
      <c r="I993" s="105"/>
      <c r="J993" s="105"/>
      <c r="K993" s="92"/>
      <c r="M993" s="92"/>
    </row>
    <row r="994">
      <c r="A994" s="103"/>
      <c r="C994" s="92"/>
      <c r="E994" s="92"/>
      <c r="F994" s="105"/>
      <c r="I994" s="105"/>
      <c r="J994" s="105"/>
      <c r="K994" s="92"/>
      <c r="M994" s="92"/>
    </row>
    <row r="995">
      <c r="A995" s="103"/>
      <c r="C995" s="92"/>
      <c r="E995" s="92"/>
      <c r="F995" s="105"/>
      <c r="I995" s="105"/>
      <c r="J995" s="105"/>
      <c r="K995" s="92"/>
      <c r="M995" s="92"/>
    </row>
    <row r="996">
      <c r="A996" s="103"/>
      <c r="C996" s="92"/>
      <c r="E996" s="92"/>
      <c r="F996" s="105"/>
      <c r="I996" s="105"/>
      <c r="J996" s="105"/>
      <c r="K996" s="92"/>
      <c r="M996" s="92"/>
    </row>
    <row r="997">
      <c r="A997" s="103"/>
      <c r="C997" s="92"/>
      <c r="E997" s="92"/>
      <c r="F997" s="105"/>
      <c r="I997" s="105"/>
      <c r="J997" s="105"/>
      <c r="K997" s="92"/>
      <c r="M997" s="92"/>
    </row>
    <row r="998">
      <c r="A998" s="103"/>
      <c r="C998" s="92"/>
      <c r="E998" s="92"/>
      <c r="F998" s="105"/>
      <c r="I998" s="105"/>
      <c r="J998" s="105"/>
      <c r="K998" s="92"/>
      <c r="M998" s="92"/>
    </row>
    <row r="999">
      <c r="A999" s="103"/>
      <c r="C999" s="92"/>
      <c r="E999" s="92"/>
      <c r="F999" s="105"/>
      <c r="I999" s="105"/>
      <c r="J999" s="105"/>
      <c r="K999" s="92"/>
      <c r="M999" s="92"/>
    </row>
    <row r="1000">
      <c r="A1000" s="103"/>
      <c r="C1000" s="92"/>
      <c r="E1000" s="92"/>
      <c r="F1000" s="105"/>
      <c r="I1000" s="105"/>
      <c r="J1000" s="105"/>
      <c r="K1000" s="92"/>
      <c r="M1000" s="92"/>
    </row>
    <row r="1001">
      <c r="A1001" s="103"/>
      <c r="C1001" s="92"/>
      <c r="E1001" s="92"/>
      <c r="F1001" s="105"/>
      <c r="I1001" s="105"/>
      <c r="J1001" s="105"/>
      <c r="K1001" s="92"/>
      <c r="M1001" s="92"/>
    </row>
    <row r="1002">
      <c r="A1002" s="103"/>
      <c r="C1002" s="92"/>
      <c r="E1002" s="92"/>
      <c r="F1002" s="105"/>
      <c r="I1002" s="105"/>
      <c r="J1002" s="105"/>
      <c r="K1002" s="92"/>
      <c r="M1002" s="92"/>
    </row>
    <row r="1003">
      <c r="A1003" s="103"/>
      <c r="C1003" s="92"/>
      <c r="E1003" s="92"/>
      <c r="F1003" s="105"/>
      <c r="I1003" s="105"/>
      <c r="J1003" s="105"/>
      <c r="K1003" s="92"/>
      <c r="M1003" s="92"/>
    </row>
    <row r="1004">
      <c r="A1004" s="103"/>
      <c r="C1004" s="92"/>
      <c r="E1004" s="92"/>
      <c r="F1004" s="105"/>
      <c r="I1004" s="105"/>
      <c r="J1004" s="105"/>
      <c r="K1004" s="92"/>
      <c r="M1004" s="92"/>
    </row>
    <row r="1005">
      <c r="A1005" s="103"/>
      <c r="C1005" s="92"/>
      <c r="E1005" s="92"/>
      <c r="F1005" s="105"/>
      <c r="I1005" s="105"/>
      <c r="J1005" s="105"/>
      <c r="K1005" s="92"/>
      <c r="M1005" s="92"/>
    </row>
    <row r="1006">
      <c r="A1006" s="103"/>
      <c r="C1006" s="92"/>
      <c r="E1006" s="92"/>
      <c r="F1006" s="105"/>
      <c r="I1006" s="105"/>
      <c r="J1006" s="105"/>
      <c r="K1006" s="92"/>
      <c r="M1006" s="92"/>
    </row>
    <row r="1007">
      <c r="A1007" s="103"/>
      <c r="C1007" s="92"/>
      <c r="E1007" s="92"/>
      <c r="F1007" s="105"/>
      <c r="I1007" s="105"/>
      <c r="J1007" s="105"/>
      <c r="K1007" s="92"/>
      <c r="M1007" s="92"/>
    </row>
    <row r="1008">
      <c r="A1008" s="103"/>
      <c r="C1008" s="92"/>
      <c r="E1008" s="92"/>
      <c r="F1008" s="105"/>
      <c r="I1008" s="105"/>
      <c r="J1008" s="105"/>
      <c r="K1008" s="92"/>
      <c r="M1008" s="92"/>
    </row>
    <row r="1009">
      <c r="A1009" s="103"/>
      <c r="C1009" s="92"/>
      <c r="E1009" s="92"/>
      <c r="F1009" s="105"/>
      <c r="I1009" s="105"/>
      <c r="J1009" s="105"/>
      <c r="K1009" s="92"/>
      <c r="M1009" s="92"/>
    </row>
    <row r="1010">
      <c r="A1010" s="103"/>
      <c r="C1010" s="92"/>
      <c r="E1010" s="92"/>
      <c r="F1010" s="105"/>
      <c r="I1010" s="105"/>
      <c r="J1010" s="105"/>
      <c r="K1010" s="92"/>
      <c r="M1010" s="92"/>
    </row>
    <row r="1011">
      <c r="A1011" s="103"/>
      <c r="C1011" s="92"/>
      <c r="E1011" s="92"/>
      <c r="F1011" s="105"/>
      <c r="I1011" s="105"/>
      <c r="J1011" s="105"/>
      <c r="K1011" s="92"/>
      <c r="M1011" s="92"/>
    </row>
    <row r="1012">
      <c r="A1012" s="103"/>
      <c r="C1012" s="92"/>
      <c r="E1012" s="92"/>
      <c r="F1012" s="105"/>
      <c r="I1012" s="105"/>
      <c r="J1012" s="105"/>
      <c r="K1012" s="92"/>
      <c r="M1012" s="92"/>
    </row>
    <row r="1013">
      <c r="A1013" s="103"/>
      <c r="C1013" s="92"/>
      <c r="E1013" s="92"/>
      <c r="F1013" s="105"/>
      <c r="I1013" s="105"/>
      <c r="J1013" s="105"/>
      <c r="K1013" s="92"/>
      <c r="M1013" s="92"/>
    </row>
    <row r="1014">
      <c r="A1014" s="103"/>
      <c r="C1014" s="92"/>
      <c r="E1014" s="92"/>
      <c r="F1014" s="105"/>
      <c r="I1014" s="105"/>
      <c r="J1014" s="105"/>
      <c r="K1014" s="92"/>
      <c r="M1014" s="92"/>
    </row>
    <row r="1015">
      <c r="A1015" s="103"/>
      <c r="C1015" s="92"/>
      <c r="E1015" s="92"/>
      <c r="F1015" s="105"/>
      <c r="I1015" s="105"/>
      <c r="J1015" s="105"/>
      <c r="K1015" s="92"/>
      <c r="M1015" s="92"/>
    </row>
    <row r="1016">
      <c r="A1016" s="103"/>
      <c r="C1016" s="92"/>
      <c r="E1016" s="92"/>
      <c r="F1016" s="105"/>
      <c r="I1016" s="105"/>
      <c r="J1016" s="105"/>
      <c r="K1016" s="92"/>
      <c r="M1016" s="92"/>
    </row>
    <row r="1017">
      <c r="A1017" s="103"/>
      <c r="C1017" s="92"/>
      <c r="E1017" s="92"/>
      <c r="F1017" s="105"/>
      <c r="I1017" s="105"/>
      <c r="J1017" s="105"/>
      <c r="K1017" s="92"/>
      <c r="M1017" s="92"/>
    </row>
    <row r="1018">
      <c r="A1018" s="103"/>
      <c r="C1018" s="92"/>
      <c r="E1018" s="92"/>
      <c r="F1018" s="105"/>
      <c r="I1018" s="105"/>
      <c r="J1018" s="105"/>
      <c r="K1018" s="92"/>
      <c r="M1018" s="92"/>
    </row>
    <row r="1019">
      <c r="A1019" s="103"/>
      <c r="C1019" s="92"/>
      <c r="E1019" s="92"/>
      <c r="F1019" s="105"/>
      <c r="I1019" s="105"/>
      <c r="J1019" s="105"/>
      <c r="K1019" s="92"/>
      <c r="M1019" s="92"/>
    </row>
    <row r="1020">
      <c r="A1020" s="103"/>
      <c r="C1020" s="92"/>
      <c r="E1020" s="92"/>
      <c r="F1020" s="105"/>
      <c r="I1020" s="105"/>
      <c r="J1020" s="105"/>
      <c r="K1020" s="92"/>
      <c r="M1020" s="92"/>
    </row>
    <row r="1021">
      <c r="A1021" s="103"/>
      <c r="C1021" s="92"/>
      <c r="E1021" s="92"/>
      <c r="F1021" s="105"/>
      <c r="I1021" s="105"/>
      <c r="J1021" s="105"/>
      <c r="K1021" s="92"/>
      <c r="M1021" s="92"/>
    </row>
    <row r="1022">
      <c r="A1022" s="103"/>
      <c r="C1022" s="92"/>
      <c r="E1022" s="92"/>
      <c r="F1022" s="105"/>
      <c r="I1022" s="105"/>
      <c r="J1022" s="105"/>
      <c r="K1022" s="92"/>
      <c r="M1022" s="92"/>
    </row>
    <row r="1023">
      <c r="A1023" s="103"/>
      <c r="C1023" s="92"/>
      <c r="E1023" s="92"/>
      <c r="F1023" s="105"/>
      <c r="I1023" s="105"/>
      <c r="J1023" s="105"/>
      <c r="K1023" s="92"/>
      <c r="M1023" s="92"/>
    </row>
    <row r="1024">
      <c r="A1024" s="103"/>
      <c r="C1024" s="92"/>
      <c r="E1024" s="92"/>
      <c r="F1024" s="105"/>
      <c r="I1024" s="105"/>
      <c r="J1024" s="105"/>
      <c r="K1024" s="92"/>
      <c r="M1024" s="92"/>
    </row>
    <row r="1025">
      <c r="A1025" s="103"/>
      <c r="C1025" s="92"/>
      <c r="E1025" s="92"/>
      <c r="F1025" s="105"/>
      <c r="I1025" s="105"/>
      <c r="J1025" s="105"/>
      <c r="K1025" s="92"/>
      <c r="M1025" s="92"/>
    </row>
    <row r="1026">
      <c r="A1026" s="103"/>
      <c r="C1026" s="92"/>
      <c r="E1026" s="92"/>
      <c r="F1026" s="105"/>
      <c r="I1026" s="105"/>
      <c r="J1026" s="105"/>
      <c r="K1026" s="92"/>
      <c r="M1026" s="92"/>
    </row>
    <row r="1027">
      <c r="A1027" s="103"/>
      <c r="C1027" s="92"/>
      <c r="E1027" s="92"/>
      <c r="F1027" s="105"/>
      <c r="I1027" s="105"/>
      <c r="J1027" s="105"/>
      <c r="K1027" s="92"/>
      <c r="M1027" s="92"/>
    </row>
    <row r="1028">
      <c r="A1028" s="103"/>
      <c r="C1028" s="92"/>
      <c r="E1028" s="92"/>
      <c r="F1028" s="105"/>
      <c r="I1028" s="105"/>
      <c r="J1028" s="105"/>
      <c r="K1028" s="92"/>
      <c r="M1028" s="92"/>
    </row>
    <row r="1029">
      <c r="A1029" s="103"/>
      <c r="C1029" s="92"/>
      <c r="E1029" s="92"/>
      <c r="F1029" s="105"/>
      <c r="I1029" s="105"/>
      <c r="J1029" s="105"/>
      <c r="K1029" s="92"/>
      <c r="M1029" s="92"/>
    </row>
    <row r="1030">
      <c r="A1030" s="103"/>
      <c r="C1030" s="92"/>
      <c r="E1030" s="92"/>
      <c r="F1030" s="105"/>
      <c r="I1030" s="105"/>
      <c r="J1030" s="105"/>
      <c r="K1030" s="92"/>
      <c r="M1030" s="92"/>
    </row>
    <row r="1031">
      <c r="A1031" s="103"/>
      <c r="C1031" s="92"/>
      <c r="E1031" s="92"/>
      <c r="F1031" s="105"/>
      <c r="I1031" s="105"/>
      <c r="J1031" s="105"/>
      <c r="K1031" s="92"/>
      <c r="M1031" s="92"/>
    </row>
    <row r="1032">
      <c r="A1032" s="103"/>
      <c r="C1032" s="92"/>
      <c r="E1032" s="92"/>
      <c r="F1032" s="105"/>
      <c r="I1032" s="105"/>
      <c r="J1032" s="105"/>
      <c r="K1032" s="92"/>
      <c r="M1032" s="92"/>
    </row>
    <row r="1033">
      <c r="A1033" s="103"/>
      <c r="C1033" s="92"/>
      <c r="E1033" s="92"/>
      <c r="F1033" s="105"/>
      <c r="I1033" s="105"/>
      <c r="J1033" s="105"/>
      <c r="K1033" s="92"/>
      <c r="M1033" s="92"/>
    </row>
    <row r="1034">
      <c r="A1034" s="103"/>
      <c r="C1034" s="92"/>
      <c r="E1034" s="92"/>
      <c r="F1034" s="105"/>
      <c r="I1034" s="105"/>
      <c r="J1034" s="105"/>
      <c r="K1034" s="92"/>
      <c r="M1034" s="92"/>
    </row>
    <row r="1035">
      <c r="A1035" s="103"/>
      <c r="C1035" s="92"/>
      <c r="E1035" s="92"/>
      <c r="F1035" s="105"/>
      <c r="I1035" s="105"/>
      <c r="J1035" s="105"/>
      <c r="K1035" s="92"/>
      <c r="M1035" s="92"/>
    </row>
    <row r="1036">
      <c r="A1036" s="103"/>
      <c r="C1036" s="92"/>
      <c r="E1036" s="92"/>
      <c r="F1036" s="105"/>
      <c r="I1036" s="105"/>
      <c r="J1036" s="105"/>
      <c r="K1036" s="92"/>
      <c r="M1036" s="92"/>
    </row>
    <row r="1037">
      <c r="A1037" s="103"/>
      <c r="C1037" s="92"/>
      <c r="E1037" s="92"/>
      <c r="F1037" s="105"/>
      <c r="I1037" s="105"/>
      <c r="J1037" s="105"/>
      <c r="K1037" s="92"/>
      <c r="M1037" s="92"/>
    </row>
    <row r="1038">
      <c r="A1038" s="103"/>
      <c r="C1038" s="92"/>
      <c r="E1038" s="92"/>
      <c r="F1038" s="105"/>
      <c r="I1038" s="105"/>
      <c r="J1038" s="105"/>
      <c r="K1038" s="92"/>
      <c r="M1038" s="92"/>
    </row>
    <row r="1039">
      <c r="A1039" s="103"/>
      <c r="C1039" s="92"/>
      <c r="E1039" s="92"/>
      <c r="F1039" s="105"/>
      <c r="I1039" s="105"/>
      <c r="J1039" s="105"/>
      <c r="K1039" s="92"/>
      <c r="M1039" s="92"/>
    </row>
    <row r="1040">
      <c r="A1040" s="103"/>
      <c r="C1040" s="92"/>
      <c r="E1040" s="92"/>
      <c r="F1040" s="105"/>
      <c r="I1040" s="105"/>
      <c r="J1040" s="105"/>
      <c r="K1040" s="92"/>
      <c r="M1040" s="92"/>
    </row>
    <row r="1041">
      <c r="A1041" s="103"/>
      <c r="C1041" s="92"/>
      <c r="E1041" s="92"/>
      <c r="F1041" s="105"/>
      <c r="I1041" s="105"/>
      <c r="J1041" s="105"/>
      <c r="K1041" s="92"/>
      <c r="M1041" s="92"/>
    </row>
    <row r="1042">
      <c r="A1042" s="103"/>
      <c r="C1042" s="92"/>
      <c r="E1042" s="92"/>
      <c r="F1042" s="105"/>
      <c r="I1042" s="105"/>
      <c r="J1042" s="105"/>
      <c r="K1042" s="92"/>
      <c r="M1042" s="92"/>
    </row>
    <row r="1043">
      <c r="A1043" s="103"/>
      <c r="C1043" s="92"/>
      <c r="E1043" s="92"/>
      <c r="F1043" s="105"/>
      <c r="I1043" s="105"/>
      <c r="J1043" s="105"/>
      <c r="K1043" s="92"/>
      <c r="M1043" s="92"/>
    </row>
    <row r="1044">
      <c r="A1044" s="103"/>
      <c r="C1044" s="92"/>
      <c r="E1044" s="92"/>
      <c r="F1044" s="105"/>
      <c r="I1044" s="105"/>
      <c r="J1044" s="105"/>
      <c r="K1044" s="92"/>
      <c r="M1044" s="92"/>
    </row>
    <row r="1045">
      <c r="A1045" s="103"/>
      <c r="C1045" s="92"/>
      <c r="E1045" s="92"/>
      <c r="F1045" s="105"/>
      <c r="I1045" s="105"/>
      <c r="J1045" s="105"/>
      <c r="K1045" s="92"/>
      <c r="M1045" s="92"/>
    </row>
    <row r="1046">
      <c r="A1046" s="103"/>
      <c r="C1046" s="92"/>
      <c r="E1046" s="92"/>
      <c r="F1046" s="105"/>
      <c r="I1046" s="105"/>
      <c r="J1046" s="105"/>
      <c r="K1046" s="92"/>
      <c r="M1046" s="92"/>
    </row>
    <row r="1047">
      <c r="A1047" s="103"/>
      <c r="C1047" s="92"/>
      <c r="E1047" s="92"/>
      <c r="F1047" s="105"/>
      <c r="I1047" s="105"/>
      <c r="J1047" s="105"/>
      <c r="K1047" s="92"/>
      <c r="M1047" s="92"/>
    </row>
    <row r="1048">
      <c r="A1048" s="103"/>
      <c r="C1048" s="92"/>
      <c r="E1048" s="92"/>
      <c r="F1048" s="105"/>
      <c r="I1048" s="105"/>
      <c r="J1048" s="105"/>
      <c r="K1048" s="92"/>
      <c r="M1048" s="92"/>
    </row>
    <row r="1049">
      <c r="A1049" s="103"/>
      <c r="C1049" s="92"/>
      <c r="E1049" s="92"/>
      <c r="F1049" s="105"/>
      <c r="I1049" s="105"/>
      <c r="J1049" s="105"/>
      <c r="K1049" s="92"/>
      <c r="M1049" s="92"/>
    </row>
    <row r="1050">
      <c r="A1050" s="103"/>
      <c r="C1050" s="92"/>
      <c r="E1050" s="92"/>
      <c r="F1050" s="105"/>
      <c r="I1050" s="105"/>
      <c r="J1050" s="105"/>
      <c r="K1050" s="92"/>
      <c r="M1050" s="92"/>
    </row>
    <row r="1051">
      <c r="A1051" s="103"/>
      <c r="C1051" s="92"/>
      <c r="E1051" s="92"/>
      <c r="F1051" s="105"/>
      <c r="I1051" s="105"/>
      <c r="J1051" s="105"/>
      <c r="K1051" s="92"/>
      <c r="M1051" s="92"/>
    </row>
    <row r="1052">
      <c r="A1052" s="103"/>
      <c r="C1052" s="92"/>
      <c r="E1052" s="92"/>
      <c r="F1052" s="105"/>
      <c r="I1052" s="105"/>
      <c r="J1052" s="105"/>
      <c r="K1052" s="92"/>
      <c r="M1052" s="92"/>
    </row>
    <row r="1053">
      <c r="A1053" s="103"/>
      <c r="C1053" s="92"/>
      <c r="E1053" s="92"/>
      <c r="F1053" s="105"/>
      <c r="I1053" s="105"/>
      <c r="J1053" s="105"/>
      <c r="K1053" s="92"/>
      <c r="M1053" s="92"/>
    </row>
    <row r="1054">
      <c r="A1054" s="103"/>
      <c r="C1054" s="92"/>
      <c r="E1054" s="92"/>
      <c r="F1054" s="105"/>
      <c r="I1054" s="105"/>
      <c r="J1054" s="105"/>
      <c r="K1054" s="92"/>
      <c r="M1054" s="92"/>
    </row>
    <row r="1055">
      <c r="A1055" s="103"/>
      <c r="C1055" s="92"/>
      <c r="E1055" s="92"/>
      <c r="F1055" s="105"/>
      <c r="I1055" s="105"/>
      <c r="J1055" s="105"/>
      <c r="K1055" s="92"/>
      <c r="M1055" s="92"/>
    </row>
    <row r="1056">
      <c r="A1056" s="103"/>
      <c r="C1056" s="92"/>
      <c r="E1056" s="92"/>
      <c r="F1056" s="105"/>
      <c r="I1056" s="105"/>
      <c r="J1056" s="105"/>
      <c r="K1056" s="92"/>
      <c r="M1056" s="92"/>
    </row>
    <row r="1057">
      <c r="A1057" s="103"/>
      <c r="C1057" s="92"/>
      <c r="E1057" s="92"/>
      <c r="F1057" s="105"/>
      <c r="I1057" s="105"/>
      <c r="J1057" s="105"/>
      <c r="K1057" s="92"/>
      <c r="M1057" s="92"/>
    </row>
    <row r="1058">
      <c r="A1058" s="103"/>
      <c r="C1058" s="92"/>
      <c r="E1058" s="92"/>
      <c r="F1058" s="105"/>
      <c r="I1058" s="105"/>
      <c r="J1058" s="105"/>
      <c r="K1058" s="92"/>
      <c r="M1058" s="92"/>
    </row>
    <row r="1059">
      <c r="A1059" s="103"/>
      <c r="C1059" s="92"/>
      <c r="E1059" s="92"/>
      <c r="F1059" s="105"/>
      <c r="I1059" s="105"/>
      <c r="J1059" s="105"/>
      <c r="K1059" s="92"/>
      <c r="M1059" s="92"/>
    </row>
    <row r="1060">
      <c r="A1060" s="103"/>
      <c r="C1060" s="92"/>
      <c r="E1060" s="92"/>
      <c r="F1060" s="105"/>
      <c r="I1060" s="105"/>
      <c r="J1060" s="105"/>
      <c r="K1060" s="92"/>
      <c r="M1060" s="92"/>
    </row>
    <row r="1061">
      <c r="A1061" s="103"/>
      <c r="C1061" s="92"/>
      <c r="E1061" s="92"/>
      <c r="F1061" s="105"/>
      <c r="I1061" s="105"/>
      <c r="J1061" s="105"/>
      <c r="K1061" s="92"/>
      <c r="M1061" s="92"/>
    </row>
    <row r="1062">
      <c r="A1062" s="103"/>
      <c r="C1062" s="92"/>
      <c r="E1062" s="92"/>
      <c r="F1062" s="105"/>
      <c r="I1062" s="105"/>
      <c r="J1062" s="105"/>
      <c r="K1062" s="92"/>
      <c r="M1062" s="92"/>
    </row>
    <row r="1063">
      <c r="A1063" s="103"/>
      <c r="C1063" s="92"/>
      <c r="E1063" s="92"/>
      <c r="F1063" s="105"/>
      <c r="I1063" s="105"/>
      <c r="J1063" s="105"/>
      <c r="K1063" s="92"/>
      <c r="M1063" s="92"/>
    </row>
    <row r="1064">
      <c r="A1064" s="103"/>
      <c r="C1064" s="92"/>
      <c r="E1064" s="92"/>
      <c r="F1064" s="105"/>
      <c r="I1064" s="105"/>
      <c r="J1064" s="105"/>
      <c r="K1064" s="92"/>
      <c r="M1064" s="92"/>
    </row>
    <row r="1065">
      <c r="A1065" s="103"/>
      <c r="C1065" s="92"/>
      <c r="E1065" s="92"/>
      <c r="F1065" s="105"/>
      <c r="I1065" s="105"/>
      <c r="J1065" s="105"/>
      <c r="K1065" s="92"/>
      <c r="M1065" s="92"/>
    </row>
    <row r="1066">
      <c r="A1066" s="103"/>
      <c r="C1066" s="92"/>
      <c r="E1066" s="92"/>
      <c r="F1066" s="105"/>
      <c r="I1066" s="105"/>
      <c r="J1066" s="105"/>
      <c r="K1066" s="92"/>
      <c r="M1066" s="92"/>
    </row>
    <row r="1067">
      <c r="A1067" s="103"/>
      <c r="C1067" s="92"/>
      <c r="E1067" s="92"/>
      <c r="F1067" s="105"/>
      <c r="I1067" s="105"/>
      <c r="J1067" s="105"/>
      <c r="K1067" s="92"/>
      <c r="M1067" s="92"/>
    </row>
    <row r="1068">
      <c r="A1068" s="103"/>
      <c r="C1068" s="92"/>
      <c r="E1068" s="92"/>
      <c r="F1068" s="105"/>
      <c r="I1068" s="105"/>
      <c r="J1068" s="105"/>
      <c r="K1068" s="92"/>
      <c r="M1068" s="92"/>
    </row>
    <row r="1069">
      <c r="A1069" s="103"/>
      <c r="C1069" s="92"/>
      <c r="E1069" s="92"/>
      <c r="F1069" s="105"/>
      <c r="I1069" s="105"/>
      <c r="J1069" s="105"/>
      <c r="K1069" s="92"/>
      <c r="M1069" s="92"/>
    </row>
    <row r="1070">
      <c r="A1070" s="103"/>
      <c r="C1070" s="92"/>
      <c r="E1070" s="92"/>
      <c r="F1070" s="105"/>
      <c r="I1070" s="105"/>
      <c r="J1070" s="105"/>
      <c r="K1070" s="92"/>
      <c r="M1070" s="92"/>
    </row>
    <row r="1071">
      <c r="A1071" s="103"/>
      <c r="C1071" s="92"/>
      <c r="E1071" s="92"/>
      <c r="F1071" s="105"/>
      <c r="I1071" s="105"/>
      <c r="J1071" s="105"/>
      <c r="K1071" s="92"/>
      <c r="M1071" s="92"/>
    </row>
    <row r="1072">
      <c r="A1072" s="103"/>
      <c r="C1072" s="92"/>
      <c r="E1072" s="92"/>
      <c r="F1072" s="105"/>
      <c r="I1072" s="105"/>
      <c r="J1072" s="105"/>
      <c r="K1072" s="92"/>
      <c r="M1072" s="92"/>
    </row>
    <row r="1073">
      <c r="A1073" s="103"/>
      <c r="C1073" s="92"/>
      <c r="E1073" s="92"/>
      <c r="F1073" s="105"/>
      <c r="I1073" s="105"/>
      <c r="J1073" s="105"/>
      <c r="K1073" s="92"/>
      <c r="M1073" s="92"/>
    </row>
    <row r="1074">
      <c r="A1074" s="103"/>
      <c r="C1074" s="92"/>
      <c r="E1074" s="92"/>
      <c r="F1074" s="105"/>
      <c r="I1074" s="105"/>
      <c r="J1074" s="105"/>
      <c r="K1074" s="92"/>
      <c r="M1074" s="92"/>
    </row>
    <row r="1075">
      <c r="A1075" s="103"/>
      <c r="C1075" s="92"/>
      <c r="E1075" s="92"/>
      <c r="F1075" s="105"/>
      <c r="I1075" s="105"/>
      <c r="J1075" s="105"/>
      <c r="K1075" s="92"/>
      <c r="M1075" s="92"/>
    </row>
    <row r="1076">
      <c r="A1076" s="103"/>
      <c r="C1076" s="92"/>
      <c r="E1076" s="92"/>
      <c r="F1076" s="105"/>
      <c r="I1076" s="105"/>
      <c r="J1076" s="105"/>
      <c r="K1076" s="92"/>
      <c r="M1076" s="92"/>
    </row>
    <row r="1077">
      <c r="A1077" s="103"/>
      <c r="C1077" s="92"/>
      <c r="E1077" s="92"/>
      <c r="F1077" s="105"/>
      <c r="I1077" s="105"/>
      <c r="J1077" s="105"/>
      <c r="K1077" s="92"/>
      <c r="M1077" s="92"/>
    </row>
    <row r="1078">
      <c r="A1078" s="103"/>
      <c r="C1078" s="92"/>
      <c r="E1078" s="92"/>
      <c r="F1078" s="105"/>
      <c r="I1078" s="105"/>
      <c r="J1078" s="105"/>
      <c r="K1078" s="92"/>
      <c r="M1078" s="92"/>
    </row>
    <row r="1079">
      <c r="A1079" s="103"/>
      <c r="C1079" s="92"/>
      <c r="E1079" s="92"/>
      <c r="F1079" s="105"/>
      <c r="I1079" s="105"/>
      <c r="J1079" s="105"/>
      <c r="K1079" s="92"/>
      <c r="M1079" s="92"/>
    </row>
    <row r="1080">
      <c r="A1080" s="103"/>
      <c r="C1080" s="92"/>
      <c r="E1080" s="92"/>
      <c r="F1080" s="105"/>
      <c r="I1080" s="105"/>
      <c r="J1080" s="105"/>
      <c r="K1080" s="92"/>
      <c r="M1080" s="92"/>
    </row>
    <row r="1081">
      <c r="A1081" s="103"/>
      <c r="C1081" s="92"/>
      <c r="E1081" s="92"/>
      <c r="F1081" s="105"/>
      <c r="I1081" s="105"/>
      <c r="J1081" s="105"/>
      <c r="K1081" s="92"/>
      <c r="M1081" s="92"/>
    </row>
    <row r="1082">
      <c r="A1082" s="103"/>
      <c r="C1082" s="92"/>
      <c r="E1082" s="92"/>
      <c r="F1082" s="105"/>
      <c r="I1082" s="105"/>
      <c r="J1082" s="105"/>
      <c r="K1082" s="92"/>
      <c r="M1082" s="92"/>
    </row>
    <row r="1083">
      <c r="A1083" s="103"/>
      <c r="C1083" s="92"/>
      <c r="E1083" s="92"/>
      <c r="F1083" s="105"/>
      <c r="I1083" s="105"/>
      <c r="J1083" s="105"/>
      <c r="K1083" s="92"/>
      <c r="M1083" s="92"/>
    </row>
    <row r="1084">
      <c r="A1084" s="103"/>
      <c r="C1084" s="92"/>
      <c r="E1084" s="92"/>
      <c r="F1084" s="105"/>
      <c r="I1084" s="105"/>
      <c r="J1084" s="105"/>
      <c r="K1084" s="92"/>
      <c r="M1084" s="92"/>
    </row>
    <row r="1085">
      <c r="A1085" s="103"/>
      <c r="C1085" s="92"/>
      <c r="E1085" s="92"/>
      <c r="F1085" s="105"/>
      <c r="I1085" s="105"/>
      <c r="J1085" s="105"/>
      <c r="K1085" s="92"/>
      <c r="M1085" s="92"/>
    </row>
    <row r="1086">
      <c r="A1086" s="103"/>
      <c r="C1086" s="92"/>
      <c r="E1086" s="92"/>
      <c r="F1086" s="105"/>
      <c r="I1086" s="105"/>
      <c r="J1086" s="105"/>
      <c r="K1086" s="92"/>
      <c r="M1086" s="92"/>
    </row>
    <row r="1087">
      <c r="A1087" s="103"/>
      <c r="C1087" s="92"/>
      <c r="E1087" s="92"/>
      <c r="F1087" s="105"/>
      <c r="I1087" s="105"/>
      <c r="J1087" s="105"/>
      <c r="K1087" s="92"/>
      <c r="M1087" s="92"/>
    </row>
    <row r="1088">
      <c r="A1088" s="103"/>
      <c r="C1088" s="92"/>
      <c r="E1088" s="92"/>
      <c r="F1088" s="105"/>
      <c r="I1088" s="105"/>
      <c r="J1088" s="105"/>
      <c r="K1088" s="92"/>
      <c r="M1088" s="92"/>
    </row>
    <row r="1089">
      <c r="A1089" s="103"/>
      <c r="C1089" s="92"/>
      <c r="E1089" s="92"/>
      <c r="F1089" s="105"/>
      <c r="I1089" s="105"/>
      <c r="J1089" s="105"/>
      <c r="K1089" s="92"/>
      <c r="M1089" s="92"/>
    </row>
    <row r="1090">
      <c r="A1090" s="103"/>
      <c r="C1090" s="92"/>
      <c r="E1090" s="92"/>
      <c r="F1090" s="105"/>
      <c r="I1090" s="105"/>
      <c r="J1090" s="105"/>
      <c r="K1090" s="92"/>
      <c r="M1090" s="92"/>
    </row>
    <row r="1091">
      <c r="A1091" s="103"/>
      <c r="C1091" s="92"/>
      <c r="E1091" s="92"/>
      <c r="F1091" s="105"/>
      <c r="I1091" s="105"/>
      <c r="J1091" s="105"/>
      <c r="K1091" s="92"/>
      <c r="M1091" s="92"/>
    </row>
    <row r="1092">
      <c r="A1092" s="103"/>
      <c r="C1092" s="92"/>
      <c r="E1092" s="92"/>
      <c r="F1092" s="105"/>
      <c r="I1092" s="105"/>
      <c r="J1092" s="105"/>
      <c r="K1092" s="92"/>
      <c r="M1092" s="92"/>
    </row>
    <row r="1093">
      <c r="A1093" s="103"/>
      <c r="C1093" s="92"/>
      <c r="E1093" s="92"/>
      <c r="F1093" s="105"/>
      <c r="I1093" s="105"/>
      <c r="J1093" s="105"/>
      <c r="K1093" s="92"/>
      <c r="M1093" s="92"/>
    </row>
    <row r="1094">
      <c r="A1094" s="103"/>
      <c r="C1094" s="92"/>
      <c r="E1094" s="92"/>
      <c r="F1094" s="105"/>
      <c r="I1094" s="105"/>
      <c r="J1094" s="105"/>
      <c r="K1094" s="92"/>
      <c r="M1094" s="92"/>
    </row>
    <row r="1095">
      <c r="A1095" s="103"/>
      <c r="C1095" s="92"/>
      <c r="E1095" s="92"/>
      <c r="F1095" s="105"/>
      <c r="I1095" s="105"/>
      <c r="J1095" s="105"/>
      <c r="K1095" s="92"/>
      <c r="M1095" s="92"/>
    </row>
    <row r="1096">
      <c r="A1096" s="103"/>
      <c r="C1096" s="92"/>
      <c r="E1096" s="92"/>
      <c r="F1096" s="105"/>
      <c r="I1096" s="105"/>
      <c r="J1096" s="105"/>
      <c r="K1096" s="92"/>
      <c r="M1096" s="92"/>
    </row>
    <row r="1097">
      <c r="A1097" s="103"/>
      <c r="C1097" s="92"/>
      <c r="E1097" s="92"/>
      <c r="F1097" s="105"/>
      <c r="I1097" s="105"/>
      <c r="J1097" s="105"/>
      <c r="K1097" s="92"/>
      <c r="M1097" s="92"/>
    </row>
    <row r="1098">
      <c r="A1098" s="103"/>
      <c r="C1098" s="92"/>
      <c r="E1098" s="92"/>
      <c r="F1098" s="105"/>
      <c r="I1098" s="105"/>
      <c r="J1098" s="105"/>
      <c r="K1098" s="92"/>
      <c r="M1098" s="92"/>
    </row>
    <row r="1099">
      <c r="A1099" s="103"/>
      <c r="C1099" s="92"/>
      <c r="E1099" s="92"/>
      <c r="F1099" s="105"/>
      <c r="I1099" s="105"/>
      <c r="J1099" s="105"/>
      <c r="K1099" s="92"/>
      <c r="M1099" s="92"/>
    </row>
    <row r="1100">
      <c r="A1100" s="103"/>
      <c r="C1100" s="92"/>
      <c r="E1100" s="92"/>
      <c r="F1100" s="105"/>
      <c r="I1100" s="105"/>
      <c r="J1100" s="105"/>
      <c r="K1100" s="92"/>
      <c r="M1100" s="92"/>
    </row>
    <row r="1101">
      <c r="A1101" s="103"/>
      <c r="C1101" s="92"/>
      <c r="E1101" s="92"/>
      <c r="F1101" s="105"/>
      <c r="I1101" s="105"/>
      <c r="J1101" s="105"/>
      <c r="K1101" s="92"/>
      <c r="M1101" s="92"/>
    </row>
    <row r="1102">
      <c r="A1102" s="103"/>
      <c r="C1102" s="92"/>
      <c r="E1102" s="92"/>
      <c r="F1102" s="105"/>
      <c r="I1102" s="105"/>
      <c r="J1102" s="105"/>
      <c r="K1102" s="92"/>
      <c r="M1102" s="92"/>
    </row>
    <row r="1103">
      <c r="A1103" s="103"/>
      <c r="C1103" s="92"/>
      <c r="E1103" s="92"/>
      <c r="F1103" s="105"/>
      <c r="I1103" s="105"/>
      <c r="J1103" s="105"/>
      <c r="K1103" s="92"/>
      <c r="M1103" s="92"/>
    </row>
    <row r="1104">
      <c r="A1104" s="103"/>
      <c r="C1104" s="92"/>
      <c r="E1104" s="92"/>
      <c r="F1104" s="105"/>
      <c r="I1104" s="105"/>
      <c r="J1104" s="105"/>
      <c r="K1104" s="92"/>
      <c r="M1104" s="92"/>
    </row>
    <row r="1105">
      <c r="A1105" s="103"/>
      <c r="C1105" s="92"/>
      <c r="E1105" s="92"/>
      <c r="F1105" s="105"/>
      <c r="I1105" s="105"/>
      <c r="J1105" s="105"/>
      <c r="K1105" s="92"/>
      <c r="M1105" s="92"/>
    </row>
    <row r="1106">
      <c r="A1106" s="103"/>
      <c r="C1106" s="92"/>
      <c r="E1106" s="92"/>
      <c r="F1106" s="105"/>
      <c r="I1106" s="105"/>
      <c r="J1106" s="105"/>
      <c r="K1106" s="92"/>
      <c r="M1106" s="92"/>
    </row>
    <row r="1107">
      <c r="A1107" s="103"/>
      <c r="C1107" s="92"/>
      <c r="E1107" s="92"/>
      <c r="F1107" s="105"/>
      <c r="I1107" s="105"/>
      <c r="J1107" s="105"/>
      <c r="K1107" s="92"/>
      <c r="M1107" s="92"/>
    </row>
    <row r="1108">
      <c r="A1108" s="103"/>
      <c r="C1108" s="92"/>
      <c r="E1108" s="92"/>
      <c r="F1108" s="105"/>
      <c r="I1108" s="105"/>
      <c r="J1108" s="105"/>
      <c r="K1108" s="92"/>
      <c r="M1108" s="92"/>
    </row>
    <row r="1109">
      <c r="A1109" s="103"/>
      <c r="C1109" s="92"/>
      <c r="E1109" s="92"/>
      <c r="F1109" s="105"/>
      <c r="I1109" s="105"/>
      <c r="J1109" s="105"/>
      <c r="K1109" s="92"/>
      <c r="M1109" s="92"/>
    </row>
    <row r="1110">
      <c r="A1110" s="103"/>
      <c r="C1110" s="92"/>
      <c r="E1110" s="92"/>
      <c r="F1110" s="105"/>
      <c r="I1110" s="105"/>
      <c r="J1110" s="105"/>
      <c r="K1110" s="92"/>
      <c r="M1110" s="92"/>
    </row>
    <row r="1111">
      <c r="A1111" s="103"/>
      <c r="C1111" s="92"/>
      <c r="E1111" s="92"/>
      <c r="F1111" s="105"/>
      <c r="I1111" s="105"/>
      <c r="J1111" s="105"/>
      <c r="K1111" s="92"/>
      <c r="M1111" s="92"/>
    </row>
    <row r="1112">
      <c r="A1112" s="103"/>
      <c r="C1112" s="92"/>
      <c r="E1112" s="92"/>
      <c r="F1112" s="105"/>
      <c r="I1112" s="105"/>
      <c r="J1112" s="105"/>
      <c r="K1112" s="92"/>
      <c r="M1112" s="92"/>
    </row>
    <row r="1113">
      <c r="A1113" s="103"/>
      <c r="C1113" s="92"/>
      <c r="E1113" s="92"/>
      <c r="F1113" s="105"/>
      <c r="I1113" s="105"/>
      <c r="J1113" s="105"/>
      <c r="K1113" s="92"/>
      <c r="M1113" s="92"/>
    </row>
    <row r="1114">
      <c r="A1114" s="103"/>
      <c r="C1114" s="92"/>
      <c r="E1114" s="92"/>
      <c r="F1114" s="105"/>
      <c r="I1114" s="105"/>
      <c r="J1114" s="105"/>
      <c r="K1114" s="92"/>
      <c r="M1114" s="92"/>
    </row>
    <row r="1115">
      <c r="A1115" s="103"/>
      <c r="C1115" s="92"/>
      <c r="E1115" s="92"/>
      <c r="F1115" s="105"/>
      <c r="I1115" s="105"/>
      <c r="J1115" s="105"/>
      <c r="K1115" s="92"/>
      <c r="M1115" s="92"/>
    </row>
    <row r="1116">
      <c r="A1116" s="103"/>
      <c r="C1116" s="92"/>
      <c r="E1116" s="92"/>
      <c r="F1116" s="105"/>
      <c r="I1116" s="105"/>
      <c r="J1116" s="105"/>
      <c r="K1116" s="92"/>
      <c r="M1116" s="92"/>
    </row>
    <row r="1117">
      <c r="A1117" s="103"/>
      <c r="C1117" s="92"/>
      <c r="E1117" s="92"/>
      <c r="F1117" s="105"/>
      <c r="I1117" s="105"/>
      <c r="J1117" s="105"/>
      <c r="K1117" s="92"/>
      <c r="M1117" s="92"/>
    </row>
    <row r="1118">
      <c r="A1118" s="103"/>
      <c r="C1118" s="92"/>
      <c r="E1118" s="92"/>
      <c r="F1118" s="105"/>
      <c r="I1118" s="105"/>
      <c r="J1118" s="105"/>
      <c r="K1118" s="92"/>
      <c r="M1118" s="92"/>
    </row>
    <row r="1119">
      <c r="A1119" s="103"/>
      <c r="C1119" s="92"/>
      <c r="E1119" s="92"/>
      <c r="F1119" s="105"/>
      <c r="I1119" s="105"/>
      <c r="J1119" s="105"/>
      <c r="K1119" s="92"/>
      <c r="M1119" s="92"/>
    </row>
    <row r="1120">
      <c r="A1120" s="103"/>
      <c r="C1120" s="92"/>
      <c r="E1120" s="92"/>
      <c r="F1120" s="105"/>
      <c r="I1120" s="105"/>
      <c r="J1120" s="105"/>
      <c r="K1120" s="92"/>
      <c r="M1120" s="92"/>
    </row>
    <row r="1121">
      <c r="A1121" s="103"/>
      <c r="C1121" s="92"/>
      <c r="E1121" s="92"/>
      <c r="F1121" s="105"/>
      <c r="I1121" s="105"/>
      <c r="J1121" s="105"/>
      <c r="K1121" s="92"/>
      <c r="M1121" s="92"/>
    </row>
    <row r="1122">
      <c r="A1122" s="103"/>
      <c r="C1122" s="92"/>
      <c r="E1122" s="92"/>
      <c r="F1122" s="105"/>
      <c r="I1122" s="105"/>
      <c r="J1122" s="105"/>
      <c r="K1122" s="92"/>
      <c r="M1122" s="92"/>
    </row>
    <row r="1123">
      <c r="A1123" s="103"/>
      <c r="C1123" s="92"/>
      <c r="E1123" s="92"/>
      <c r="F1123" s="105"/>
      <c r="I1123" s="105"/>
      <c r="J1123" s="105"/>
      <c r="K1123" s="92"/>
      <c r="M1123" s="92"/>
    </row>
    <row r="1124">
      <c r="A1124" s="103"/>
      <c r="C1124" s="92"/>
      <c r="E1124" s="92"/>
      <c r="F1124" s="105"/>
      <c r="I1124" s="105"/>
      <c r="J1124" s="105"/>
      <c r="K1124" s="92"/>
      <c r="M1124" s="92"/>
    </row>
    <row r="1125">
      <c r="A1125" s="103"/>
      <c r="C1125" s="92"/>
      <c r="E1125" s="92"/>
      <c r="F1125" s="105"/>
      <c r="I1125" s="105"/>
      <c r="J1125" s="105"/>
      <c r="K1125" s="92"/>
      <c r="M1125" s="92"/>
    </row>
    <row r="1126">
      <c r="A1126" s="103"/>
      <c r="C1126" s="92"/>
      <c r="E1126" s="92"/>
      <c r="F1126" s="105"/>
      <c r="I1126" s="105"/>
      <c r="J1126" s="105"/>
      <c r="K1126" s="92"/>
      <c r="M1126" s="92"/>
    </row>
    <row r="1127">
      <c r="A1127" s="103"/>
      <c r="C1127" s="92"/>
      <c r="E1127" s="92"/>
      <c r="F1127" s="105"/>
      <c r="I1127" s="105"/>
      <c r="J1127" s="105"/>
      <c r="K1127" s="92"/>
      <c r="M1127" s="92"/>
    </row>
    <row r="1128">
      <c r="A1128" s="103"/>
      <c r="C1128" s="92"/>
      <c r="E1128" s="92"/>
      <c r="F1128" s="105"/>
      <c r="I1128" s="105"/>
      <c r="J1128" s="105"/>
      <c r="K1128" s="92"/>
      <c r="M1128" s="92"/>
    </row>
    <row r="1129">
      <c r="A1129" s="103"/>
      <c r="C1129" s="92"/>
      <c r="E1129" s="92"/>
      <c r="F1129" s="105"/>
      <c r="I1129" s="105"/>
      <c r="J1129" s="105"/>
      <c r="K1129" s="92"/>
      <c r="M1129" s="92"/>
    </row>
    <row r="1130">
      <c r="A1130" s="103"/>
      <c r="C1130" s="92"/>
      <c r="E1130" s="92"/>
      <c r="F1130" s="105"/>
      <c r="I1130" s="105"/>
      <c r="J1130" s="105"/>
      <c r="K1130" s="92"/>
      <c r="M1130" s="92"/>
    </row>
    <row r="1131">
      <c r="A1131" s="103"/>
      <c r="C1131" s="92"/>
      <c r="E1131" s="92"/>
      <c r="F1131" s="105"/>
      <c r="I1131" s="105"/>
      <c r="J1131" s="105"/>
      <c r="K1131" s="92"/>
      <c r="M1131" s="92"/>
    </row>
    <row r="1132">
      <c r="A1132" s="103"/>
      <c r="C1132" s="92"/>
      <c r="E1132" s="92"/>
      <c r="F1132" s="105"/>
      <c r="I1132" s="105"/>
      <c r="J1132" s="105"/>
      <c r="K1132" s="92"/>
      <c r="M1132" s="92"/>
    </row>
    <row r="1133">
      <c r="A1133" s="103"/>
      <c r="C1133" s="92"/>
      <c r="E1133" s="92"/>
      <c r="F1133" s="105"/>
      <c r="I1133" s="105"/>
      <c r="J1133" s="105"/>
      <c r="K1133" s="92"/>
      <c r="M1133" s="92"/>
    </row>
    <row r="1134">
      <c r="A1134" s="103"/>
      <c r="C1134" s="92"/>
      <c r="E1134" s="92"/>
      <c r="F1134" s="105"/>
      <c r="I1134" s="105"/>
      <c r="J1134" s="105"/>
      <c r="K1134" s="92"/>
      <c r="M1134" s="92"/>
    </row>
    <row r="1135">
      <c r="A1135" s="103"/>
      <c r="C1135" s="92"/>
      <c r="E1135" s="92"/>
      <c r="F1135" s="105"/>
      <c r="I1135" s="105"/>
      <c r="J1135" s="105"/>
      <c r="K1135" s="92"/>
      <c r="M1135" s="92"/>
    </row>
    <row r="1136">
      <c r="A1136" s="103"/>
      <c r="C1136" s="92"/>
      <c r="E1136" s="92"/>
      <c r="F1136" s="105"/>
      <c r="I1136" s="105"/>
      <c r="J1136" s="105"/>
      <c r="K1136" s="92"/>
      <c r="M1136" s="92"/>
    </row>
    <row r="1137">
      <c r="A1137" s="103"/>
      <c r="C1137" s="92"/>
      <c r="E1137" s="92"/>
      <c r="F1137" s="105"/>
      <c r="I1137" s="105"/>
      <c r="J1137" s="105"/>
      <c r="K1137" s="92"/>
      <c r="M1137" s="92"/>
    </row>
    <row r="1138">
      <c r="A1138" s="103"/>
      <c r="C1138" s="92"/>
      <c r="E1138" s="92"/>
      <c r="F1138" s="105"/>
      <c r="I1138" s="105"/>
      <c r="J1138" s="105"/>
      <c r="K1138" s="92"/>
      <c r="M1138" s="92"/>
    </row>
    <row r="1139">
      <c r="A1139" s="103"/>
      <c r="C1139" s="92"/>
      <c r="E1139" s="92"/>
      <c r="F1139" s="105"/>
      <c r="I1139" s="105"/>
      <c r="J1139" s="105"/>
      <c r="K1139" s="92"/>
      <c r="M1139" s="92"/>
    </row>
    <row r="1140">
      <c r="A1140" s="103"/>
      <c r="C1140" s="92"/>
      <c r="E1140" s="92"/>
      <c r="F1140" s="105"/>
      <c r="I1140" s="105"/>
      <c r="J1140" s="105"/>
      <c r="K1140" s="92"/>
      <c r="M1140" s="92"/>
    </row>
    <row r="1141">
      <c r="A1141" s="103"/>
      <c r="C1141" s="92"/>
      <c r="E1141" s="92"/>
      <c r="F1141" s="105"/>
      <c r="I1141" s="105"/>
      <c r="J1141" s="105"/>
      <c r="K1141" s="92"/>
      <c r="M1141" s="92"/>
    </row>
    <row r="1142">
      <c r="A1142" s="103"/>
      <c r="C1142" s="92"/>
      <c r="E1142" s="92"/>
      <c r="F1142" s="105"/>
      <c r="I1142" s="105"/>
      <c r="J1142" s="105"/>
      <c r="K1142" s="92"/>
      <c r="M1142" s="92"/>
    </row>
    <row r="1143">
      <c r="A1143" s="103"/>
      <c r="C1143" s="92"/>
      <c r="E1143" s="92"/>
      <c r="F1143" s="105"/>
      <c r="I1143" s="105"/>
      <c r="J1143" s="105"/>
      <c r="K1143" s="92"/>
      <c r="M1143" s="92"/>
    </row>
    <row r="1144">
      <c r="A1144" s="103"/>
      <c r="C1144" s="92"/>
      <c r="E1144" s="92"/>
      <c r="F1144" s="105"/>
      <c r="I1144" s="105"/>
      <c r="J1144" s="105"/>
      <c r="K1144" s="92"/>
      <c r="M1144" s="92"/>
    </row>
    <row r="1145">
      <c r="A1145" s="103"/>
      <c r="C1145" s="92"/>
      <c r="E1145" s="92"/>
      <c r="F1145" s="105"/>
      <c r="I1145" s="105"/>
      <c r="J1145" s="105"/>
      <c r="K1145" s="92"/>
      <c r="M1145" s="92"/>
    </row>
    <row r="1146">
      <c r="A1146" s="103"/>
      <c r="C1146" s="92"/>
      <c r="E1146" s="92"/>
      <c r="F1146" s="105"/>
      <c r="I1146" s="105"/>
      <c r="J1146" s="105"/>
      <c r="K1146" s="92"/>
      <c r="M1146" s="92"/>
    </row>
    <row r="1147">
      <c r="A1147" s="103"/>
      <c r="C1147" s="92"/>
      <c r="E1147" s="92"/>
      <c r="F1147" s="105"/>
      <c r="I1147" s="105"/>
      <c r="J1147" s="105"/>
      <c r="K1147" s="92"/>
      <c r="M1147" s="92"/>
    </row>
    <row r="1148">
      <c r="A1148" s="103"/>
      <c r="C1148" s="92"/>
      <c r="E1148" s="92"/>
      <c r="F1148" s="105"/>
      <c r="I1148" s="105"/>
      <c r="J1148" s="105"/>
      <c r="K1148" s="92"/>
      <c r="M1148" s="92"/>
    </row>
    <row r="1149">
      <c r="A1149" s="103"/>
      <c r="C1149" s="92"/>
      <c r="E1149" s="92"/>
      <c r="F1149" s="105"/>
      <c r="I1149" s="105"/>
      <c r="J1149" s="105"/>
      <c r="K1149" s="92"/>
      <c r="M1149" s="92"/>
    </row>
    <row r="1150">
      <c r="A1150" s="103"/>
      <c r="C1150" s="92"/>
      <c r="E1150" s="92"/>
      <c r="F1150" s="105"/>
      <c r="I1150" s="105"/>
      <c r="J1150" s="105"/>
      <c r="K1150" s="92"/>
      <c r="M1150" s="92"/>
    </row>
    <row r="1151">
      <c r="A1151" s="103"/>
      <c r="C1151" s="92"/>
      <c r="E1151" s="92"/>
      <c r="F1151" s="105"/>
      <c r="I1151" s="105"/>
      <c r="J1151" s="105"/>
      <c r="K1151" s="92"/>
      <c r="M1151" s="92"/>
    </row>
    <row r="1152">
      <c r="A1152" s="103"/>
      <c r="C1152" s="92"/>
      <c r="E1152" s="92"/>
      <c r="F1152" s="105"/>
      <c r="I1152" s="105"/>
      <c r="J1152" s="105"/>
      <c r="K1152" s="92"/>
      <c r="M1152" s="92"/>
    </row>
    <row r="1153">
      <c r="A1153" s="103"/>
      <c r="C1153" s="92"/>
      <c r="E1153" s="92"/>
      <c r="F1153" s="105"/>
      <c r="I1153" s="105"/>
      <c r="J1153" s="105"/>
      <c r="K1153" s="92"/>
      <c r="M1153" s="92"/>
    </row>
    <row r="1154">
      <c r="A1154" s="103"/>
      <c r="C1154" s="92"/>
      <c r="E1154" s="92"/>
      <c r="F1154" s="105"/>
      <c r="I1154" s="105"/>
      <c r="J1154" s="105"/>
      <c r="K1154" s="92"/>
      <c r="M1154" s="92"/>
    </row>
    <row r="1155">
      <c r="A1155" s="103"/>
      <c r="C1155" s="92"/>
      <c r="E1155" s="92"/>
      <c r="F1155" s="105"/>
      <c r="I1155" s="105"/>
      <c r="J1155" s="105"/>
      <c r="K1155" s="92"/>
      <c r="M1155" s="92"/>
    </row>
    <row r="1156">
      <c r="A1156" s="103"/>
      <c r="C1156" s="92"/>
      <c r="E1156" s="92"/>
      <c r="F1156" s="105"/>
      <c r="I1156" s="105"/>
      <c r="J1156" s="105"/>
      <c r="K1156" s="92"/>
      <c r="M1156" s="92"/>
    </row>
    <row r="1157">
      <c r="A1157" s="103"/>
      <c r="C1157" s="92"/>
      <c r="E1157" s="92"/>
      <c r="F1157" s="105"/>
      <c r="I1157" s="105"/>
      <c r="J1157" s="105"/>
      <c r="K1157" s="92"/>
      <c r="M1157" s="92"/>
    </row>
    <row r="1158">
      <c r="A1158" s="103"/>
      <c r="C1158" s="92"/>
      <c r="E1158" s="92"/>
      <c r="F1158" s="105"/>
      <c r="I1158" s="105"/>
      <c r="J1158" s="105"/>
      <c r="K1158" s="92"/>
      <c r="M1158" s="92"/>
    </row>
    <row r="1159">
      <c r="A1159" s="103"/>
      <c r="C1159" s="92"/>
      <c r="E1159" s="92"/>
      <c r="F1159" s="105"/>
      <c r="I1159" s="105"/>
      <c r="J1159" s="105"/>
      <c r="K1159" s="92"/>
      <c r="M1159" s="92"/>
    </row>
    <row r="1160">
      <c r="A1160" s="103"/>
      <c r="C1160" s="92"/>
      <c r="E1160" s="92"/>
      <c r="F1160" s="105"/>
      <c r="I1160" s="105"/>
      <c r="J1160" s="105"/>
      <c r="K1160" s="92"/>
      <c r="M1160" s="92"/>
    </row>
    <row r="1161">
      <c r="A1161" s="103"/>
      <c r="C1161" s="92"/>
      <c r="E1161" s="92"/>
      <c r="F1161" s="105"/>
      <c r="I1161" s="105"/>
      <c r="J1161" s="105"/>
      <c r="K1161" s="92"/>
      <c r="M1161" s="92"/>
    </row>
    <row r="1162">
      <c r="A1162" s="103"/>
      <c r="C1162" s="92"/>
      <c r="E1162" s="92"/>
      <c r="F1162" s="105"/>
      <c r="I1162" s="105"/>
      <c r="J1162" s="105"/>
      <c r="K1162" s="92"/>
      <c r="M1162" s="92"/>
    </row>
    <row r="1163">
      <c r="A1163" s="103"/>
      <c r="C1163" s="92"/>
      <c r="E1163" s="92"/>
      <c r="F1163" s="105"/>
      <c r="I1163" s="105"/>
      <c r="J1163" s="105"/>
      <c r="K1163" s="92"/>
      <c r="M1163" s="92"/>
    </row>
    <row r="1164">
      <c r="A1164" s="103"/>
      <c r="C1164" s="92"/>
      <c r="E1164" s="92"/>
      <c r="F1164" s="105"/>
      <c r="I1164" s="105"/>
      <c r="J1164" s="105"/>
      <c r="K1164" s="92"/>
      <c r="M1164" s="92"/>
    </row>
    <row r="1165">
      <c r="A1165" s="103"/>
      <c r="C1165" s="92"/>
      <c r="E1165" s="92"/>
      <c r="F1165" s="105"/>
      <c r="I1165" s="105"/>
      <c r="J1165" s="105"/>
      <c r="K1165" s="92"/>
      <c r="M1165" s="92"/>
    </row>
    <row r="1166">
      <c r="A1166" s="103"/>
      <c r="C1166" s="92"/>
      <c r="E1166" s="92"/>
      <c r="F1166" s="105"/>
      <c r="I1166" s="105"/>
      <c r="J1166" s="105"/>
      <c r="K1166" s="92"/>
      <c r="M1166" s="92"/>
    </row>
    <row r="1167">
      <c r="A1167" s="103"/>
      <c r="C1167" s="92"/>
      <c r="E1167" s="92"/>
      <c r="F1167" s="105"/>
      <c r="I1167" s="105"/>
      <c r="J1167" s="105"/>
      <c r="K1167" s="92"/>
      <c r="M1167" s="92"/>
    </row>
    <row r="1168">
      <c r="A1168" s="103"/>
      <c r="C1168" s="92"/>
      <c r="E1168" s="92"/>
      <c r="F1168" s="105"/>
      <c r="I1168" s="105"/>
      <c r="J1168" s="105"/>
      <c r="K1168" s="92"/>
      <c r="M1168" s="92"/>
    </row>
    <row r="1169">
      <c r="A1169" s="103"/>
      <c r="C1169" s="92"/>
      <c r="E1169" s="92"/>
      <c r="F1169" s="105"/>
      <c r="I1169" s="105"/>
      <c r="J1169" s="105"/>
      <c r="K1169" s="92"/>
      <c r="M1169" s="92"/>
    </row>
    <row r="1170">
      <c r="A1170" s="103"/>
      <c r="C1170" s="92"/>
      <c r="E1170" s="92"/>
      <c r="F1170" s="105"/>
      <c r="I1170" s="105"/>
      <c r="J1170" s="105"/>
      <c r="K1170" s="92"/>
      <c r="M1170" s="92"/>
    </row>
    <row r="1171">
      <c r="A1171" s="103"/>
      <c r="C1171" s="92"/>
      <c r="E1171" s="92"/>
      <c r="F1171" s="105"/>
      <c r="I1171" s="105"/>
      <c r="J1171" s="105"/>
      <c r="K1171" s="92"/>
      <c r="M1171" s="92"/>
    </row>
    <row r="1172">
      <c r="A1172" s="103"/>
      <c r="C1172" s="92"/>
      <c r="E1172" s="92"/>
      <c r="F1172" s="105"/>
      <c r="I1172" s="105"/>
      <c r="J1172" s="105"/>
      <c r="K1172" s="92"/>
      <c r="M1172" s="92"/>
    </row>
    <row r="1173">
      <c r="A1173" s="103"/>
      <c r="C1173" s="92"/>
      <c r="E1173" s="92"/>
      <c r="F1173" s="105"/>
      <c r="I1173" s="105"/>
      <c r="J1173" s="105"/>
      <c r="K1173" s="92"/>
      <c r="M1173" s="92"/>
    </row>
    <row r="1174">
      <c r="A1174" s="103"/>
      <c r="C1174" s="92"/>
      <c r="E1174" s="92"/>
      <c r="F1174" s="105"/>
      <c r="I1174" s="105"/>
      <c r="J1174" s="105"/>
      <c r="K1174" s="92"/>
      <c r="M1174" s="92"/>
    </row>
    <row r="1175">
      <c r="A1175" s="103"/>
      <c r="C1175" s="92"/>
      <c r="E1175" s="92"/>
      <c r="F1175" s="105"/>
      <c r="I1175" s="105"/>
      <c r="J1175" s="105"/>
      <c r="K1175" s="92"/>
      <c r="M1175" s="92"/>
    </row>
    <row r="1176">
      <c r="A1176" s="103"/>
      <c r="C1176" s="92"/>
      <c r="E1176" s="92"/>
      <c r="F1176" s="105"/>
      <c r="I1176" s="105"/>
      <c r="J1176" s="105"/>
      <c r="K1176" s="92"/>
      <c r="M1176" s="92"/>
    </row>
    <row r="1177">
      <c r="A1177" s="103"/>
      <c r="C1177" s="92"/>
      <c r="E1177" s="92"/>
      <c r="F1177" s="105"/>
      <c r="I1177" s="105"/>
      <c r="J1177" s="105"/>
      <c r="K1177" s="92"/>
      <c r="M1177" s="92"/>
    </row>
    <row r="1178">
      <c r="A1178" s="103"/>
      <c r="C1178" s="92"/>
      <c r="E1178" s="92"/>
      <c r="F1178" s="105"/>
      <c r="I1178" s="105"/>
      <c r="J1178" s="105"/>
      <c r="K1178" s="92"/>
      <c r="M1178" s="92"/>
    </row>
    <row r="1179">
      <c r="A1179" s="103"/>
      <c r="C1179" s="92"/>
      <c r="E1179" s="92"/>
      <c r="F1179" s="105"/>
      <c r="I1179" s="105"/>
      <c r="J1179" s="105"/>
      <c r="K1179" s="92"/>
      <c r="M1179" s="92"/>
    </row>
    <row r="1180">
      <c r="A1180" s="103"/>
      <c r="C1180" s="92"/>
      <c r="E1180" s="92"/>
      <c r="F1180" s="105"/>
      <c r="I1180" s="105"/>
      <c r="J1180" s="105"/>
      <c r="K1180" s="92"/>
      <c r="M1180" s="92"/>
    </row>
    <row r="1181">
      <c r="A1181" s="103"/>
      <c r="C1181" s="92"/>
      <c r="E1181" s="92"/>
      <c r="F1181" s="105"/>
      <c r="I1181" s="105"/>
      <c r="J1181" s="105"/>
      <c r="K1181" s="92"/>
      <c r="M1181" s="92"/>
    </row>
    <row r="1182">
      <c r="A1182" s="103"/>
      <c r="C1182" s="92"/>
      <c r="E1182" s="92"/>
      <c r="F1182" s="105"/>
      <c r="I1182" s="105"/>
      <c r="J1182" s="105"/>
      <c r="K1182" s="92"/>
      <c r="M1182" s="92"/>
    </row>
    <row r="1183">
      <c r="A1183" s="103"/>
      <c r="C1183" s="92"/>
      <c r="E1183" s="92"/>
      <c r="F1183" s="105"/>
      <c r="I1183" s="105"/>
      <c r="J1183" s="105"/>
      <c r="K1183" s="92"/>
      <c r="M1183" s="92"/>
    </row>
    <row r="1184">
      <c r="A1184" s="103"/>
      <c r="C1184" s="92"/>
      <c r="E1184" s="92"/>
      <c r="F1184" s="105"/>
      <c r="I1184" s="105"/>
      <c r="J1184" s="105"/>
      <c r="K1184" s="92"/>
      <c r="M1184" s="92"/>
    </row>
    <row r="1185">
      <c r="A1185" s="103"/>
      <c r="C1185" s="92"/>
      <c r="E1185" s="92"/>
      <c r="F1185" s="105"/>
      <c r="I1185" s="105"/>
      <c r="J1185" s="105"/>
      <c r="K1185" s="92"/>
      <c r="M1185" s="92"/>
    </row>
    <row r="1186">
      <c r="A1186" s="103"/>
      <c r="C1186" s="92"/>
      <c r="E1186" s="92"/>
      <c r="F1186" s="105"/>
      <c r="I1186" s="105"/>
      <c r="J1186" s="105"/>
      <c r="K1186" s="92"/>
      <c r="M1186" s="92"/>
    </row>
    <row r="1187">
      <c r="A1187" s="103"/>
      <c r="C1187" s="92"/>
      <c r="E1187" s="92"/>
      <c r="F1187" s="105"/>
      <c r="I1187" s="105"/>
      <c r="J1187" s="105"/>
      <c r="K1187" s="92"/>
      <c r="M1187" s="92"/>
    </row>
    <row r="1188">
      <c r="A1188" s="103"/>
      <c r="C1188" s="92"/>
      <c r="E1188" s="92"/>
      <c r="F1188" s="105"/>
      <c r="I1188" s="105"/>
      <c r="J1188" s="105"/>
      <c r="K1188" s="92"/>
      <c r="M1188" s="92"/>
    </row>
    <row r="1189">
      <c r="A1189" s="103"/>
      <c r="C1189" s="92"/>
      <c r="E1189" s="92"/>
      <c r="F1189" s="105"/>
      <c r="I1189" s="105"/>
      <c r="J1189" s="105"/>
      <c r="K1189" s="92"/>
      <c r="M1189" s="92"/>
    </row>
    <row r="1190">
      <c r="A1190" s="103"/>
      <c r="C1190" s="92"/>
      <c r="E1190" s="92"/>
      <c r="F1190" s="105"/>
      <c r="I1190" s="105"/>
      <c r="J1190" s="105"/>
      <c r="K1190" s="92"/>
      <c r="M1190" s="92"/>
    </row>
    <row r="1191">
      <c r="A1191" s="103"/>
      <c r="C1191" s="92"/>
      <c r="E1191" s="92"/>
      <c r="F1191" s="105"/>
      <c r="I1191" s="105"/>
      <c r="J1191" s="105"/>
      <c r="K1191" s="92"/>
      <c r="M1191" s="92"/>
    </row>
    <row r="1192">
      <c r="A1192" s="103"/>
      <c r="C1192" s="92"/>
      <c r="E1192" s="92"/>
      <c r="F1192" s="105"/>
      <c r="I1192" s="105"/>
      <c r="J1192" s="105"/>
      <c r="K1192" s="92"/>
      <c r="M1192" s="92"/>
    </row>
    <row r="1193">
      <c r="A1193" s="103"/>
      <c r="C1193" s="92"/>
      <c r="E1193" s="92"/>
      <c r="F1193" s="105"/>
      <c r="I1193" s="105"/>
      <c r="J1193" s="105"/>
      <c r="K1193" s="92"/>
      <c r="M1193" s="92"/>
    </row>
    <row r="1194">
      <c r="A1194" s="103"/>
      <c r="C1194" s="92"/>
      <c r="E1194" s="92"/>
      <c r="F1194" s="105"/>
      <c r="I1194" s="105"/>
      <c r="J1194" s="105"/>
      <c r="K1194" s="92"/>
      <c r="M1194" s="92"/>
    </row>
    <row r="1195">
      <c r="A1195" s="103"/>
      <c r="C1195" s="92"/>
      <c r="E1195" s="92"/>
      <c r="F1195" s="105"/>
      <c r="I1195" s="105"/>
      <c r="J1195" s="105"/>
      <c r="K1195" s="92"/>
      <c r="M1195" s="92"/>
    </row>
    <row r="1196">
      <c r="A1196" s="103"/>
      <c r="C1196" s="92"/>
      <c r="E1196" s="92"/>
      <c r="F1196" s="105"/>
      <c r="I1196" s="105"/>
      <c r="J1196" s="105"/>
      <c r="K1196" s="92"/>
      <c r="M1196" s="92"/>
    </row>
    <row r="1197">
      <c r="A1197" s="103"/>
      <c r="C1197" s="92"/>
      <c r="E1197" s="92"/>
      <c r="F1197" s="105"/>
      <c r="I1197" s="105"/>
      <c r="J1197" s="105"/>
      <c r="K1197" s="92"/>
      <c r="M1197" s="92"/>
    </row>
    <row r="1198">
      <c r="A1198" s="103"/>
      <c r="C1198" s="92"/>
      <c r="E1198" s="92"/>
      <c r="F1198" s="105"/>
      <c r="I1198" s="105"/>
      <c r="J1198" s="105"/>
      <c r="K1198" s="92"/>
      <c r="M1198" s="92"/>
    </row>
    <row r="1199">
      <c r="A1199" s="103"/>
      <c r="C1199" s="92"/>
      <c r="E1199" s="92"/>
      <c r="F1199" s="105"/>
      <c r="I1199" s="105"/>
      <c r="J1199" s="105"/>
      <c r="K1199" s="92"/>
      <c r="M1199" s="92"/>
    </row>
    <row r="1200">
      <c r="A1200" s="103"/>
      <c r="C1200" s="92"/>
      <c r="E1200" s="92"/>
      <c r="F1200" s="105"/>
      <c r="I1200" s="105"/>
      <c r="J1200" s="105"/>
      <c r="K1200" s="92"/>
      <c r="M1200" s="92"/>
    </row>
    <row r="1201">
      <c r="A1201" s="103"/>
      <c r="C1201" s="92"/>
      <c r="E1201" s="92"/>
      <c r="F1201" s="105"/>
      <c r="I1201" s="105"/>
      <c r="J1201" s="105"/>
      <c r="K1201" s="92"/>
      <c r="M1201" s="92"/>
    </row>
    <row r="1202">
      <c r="A1202" s="103"/>
      <c r="C1202" s="92"/>
      <c r="E1202" s="92"/>
      <c r="F1202" s="105"/>
      <c r="I1202" s="105"/>
      <c r="J1202" s="105"/>
      <c r="K1202" s="92"/>
      <c r="M1202" s="92"/>
    </row>
    <row r="1203">
      <c r="A1203" s="103"/>
      <c r="C1203" s="92"/>
      <c r="E1203" s="92"/>
      <c r="F1203" s="105"/>
      <c r="I1203" s="105"/>
      <c r="J1203" s="105"/>
      <c r="K1203" s="92"/>
      <c r="M1203" s="92"/>
    </row>
    <row r="1204">
      <c r="A1204" s="103"/>
      <c r="C1204" s="92"/>
      <c r="E1204" s="92"/>
      <c r="F1204" s="105"/>
      <c r="I1204" s="105"/>
      <c r="J1204" s="105"/>
      <c r="K1204" s="92"/>
      <c r="M1204" s="92"/>
    </row>
    <row r="1205">
      <c r="A1205" s="103"/>
      <c r="C1205" s="92"/>
      <c r="E1205" s="92"/>
      <c r="F1205" s="105"/>
      <c r="I1205" s="105"/>
      <c r="J1205" s="105"/>
      <c r="K1205" s="92"/>
      <c r="M1205" s="92"/>
    </row>
    <row r="1206">
      <c r="A1206" s="103"/>
      <c r="C1206" s="92"/>
      <c r="E1206" s="92"/>
      <c r="F1206" s="105"/>
      <c r="I1206" s="105"/>
      <c r="J1206" s="105"/>
      <c r="K1206" s="92"/>
      <c r="M1206" s="92"/>
    </row>
    <row r="1207">
      <c r="A1207" s="103"/>
      <c r="C1207" s="92"/>
      <c r="E1207" s="92"/>
      <c r="F1207" s="105"/>
      <c r="I1207" s="105"/>
      <c r="J1207" s="105"/>
      <c r="K1207" s="92"/>
      <c r="M1207" s="92"/>
    </row>
    <row r="1208">
      <c r="A1208" s="103"/>
      <c r="C1208" s="92"/>
      <c r="E1208" s="92"/>
      <c r="F1208" s="105"/>
      <c r="I1208" s="105"/>
      <c r="J1208" s="105"/>
      <c r="K1208" s="92"/>
      <c r="M1208" s="92"/>
    </row>
    <row r="1209">
      <c r="A1209" s="103"/>
      <c r="C1209" s="92"/>
      <c r="E1209" s="92"/>
      <c r="F1209" s="105"/>
      <c r="I1209" s="105"/>
      <c r="J1209" s="105"/>
      <c r="K1209" s="92"/>
      <c r="M1209" s="92"/>
    </row>
    <row r="1210">
      <c r="A1210" s="103"/>
      <c r="C1210" s="92"/>
      <c r="E1210" s="92"/>
      <c r="F1210" s="105"/>
      <c r="I1210" s="105"/>
      <c r="J1210" s="105"/>
      <c r="K1210" s="92"/>
      <c r="M1210" s="92"/>
    </row>
    <row r="1211">
      <c r="A1211" s="103"/>
      <c r="C1211" s="92"/>
      <c r="E1211" s="92"/>
      <c r="F1211" s="105"/>
      <c r="I1211" s="105"/>
      <c r="J1211" s="105"/>
      <c r="K1211" s="92"/>
      <c r="M1211" s="92"/>
    </row>
    <row r="1212">
      <c r="A1212" s="103"/>
      <c r="C1212" s="92"/>
      <c r="E1212" s="92"/>
      <c r="F1212" s="105"/>
      <c r="I1212" s="105"/>
      <c r="J1212" s="105"/>
      <c r="K1212" s="92"/>
      <c r="M1212" s="92"/>
    </row>
    <row r="1213">
      <c r="A1213" s="103"/>
      <c r="C1213" s="92"/>
      <c r="E1213" s="92"/>
      <c r="F1213" s="105"/>
      <c r="I1213" s="105"/>
      <c r="J1213" s="105"/>
      <c r="K1213" s="92"/>
      <c r="M1213" s="92"/>
    </row>
    <row r="1214">
      <c r="A1214" s="103"/>
      <c r="C1214" s="92"/>
      <c r="E1214" s="92"/>
      <c r="F1214" s="105"/>
      <c r="I1214" s="105"/>
      <c r="J1214" s="105"/>
      <c r="K1214" s="92"/>
      <c r="M1214" s="92"/>
    </row>
    <row r="1215">
      <c r="A1215" s="103"/>
      <c r="C1215" s="92"/>
      <c r="E1215" s="92"/>
      <c r="F1215" s="105"/>
      <c r="I1215" s="105"/>
      <c r="J1215" s="105"/>
      <c r="K1215" s="92"/>
      <c r="M1215" s="92"/>
    </row>
    <row r="1216">
      <c r="A1216" s="103"/>
      <c r="C1216" s="92"/>
      <c r="E1216" s="92"/>
      <c r="F1216" s="105"/>
      <c r="I1216" s="105"/>
      <c r="J1216" s="105"/>
      <c r="K1216" s="92"/>
      <c r="M1216" s="92"/>
    </row>
    <row r="1217">
      <c r="A1217" s="103"/>
      <c r="C1217" s="92"/>
      <c r="E1217" s="92"/>
      <c r="F1217" s="105"/>
      <c r="I1217" s="105"/>
      <c r="J1217" s="105"/>
      <c r="K1217" s="92"/>
      <c r="M1217" s="92"/>
    </row>
    <row r="1218">
      <c r="A1218" s="103"/>
      <c r="C1218" s="92"/>
      <c r="E1218" s="92"/>
      <c r="F1218" s="105"/>
      <c r="I1218" s="105"/>
      <c r="J1218" s="105"/>
      <c r="K1218" s="92"/>
      <c r="M1218" s="92"/>
    </row>
    <row r="1219">
      <c r="A1219" s="103"/>
      <c r="C1219" s="92"/>
      <c r="E1219" s="92"/>
      <c r="F1219" s="105"/>
      <c r="I1219" s="105"/>
      <c r="J1219" s="105"/>
      <c r="K1219" s="92"/>
      <c r="M1219" s="92"/>
    </row>
    <row r="1220">
      <c r="A1220" s="103"/>
      <c r="C1220" s="92"/>
      <c r="E1220" s="92"/>
      <c r="F1220" s="105"/>
      <c r="I1220" s="105"/>
      <c r="J1220" s="105"/>
      <c r="K1220" s="92"/>
      <c r="M1220" s="92"/>
    </row>
    <row r="1221">
      <c r="A1221" s="103"/>
      <c r="C1221" s="92"/>
      <c r="E1221" s="92"/>
      <c r="F1221" s="105"/>
      <c r="I1221" s="105"/>
      <c r="J1221" s="105"/>
      <c r="K1221" s="92"/>
      <c r="M1221" s="92"/>
    </row>
    <row r="1222">
      <c r="A1222" s="103"/>
      <c r="C1222" s="92"/>
      <c r="E1222" s="92"/>
      <c r="F1222" s="105"/>
      <c r="I1222" s="105"/>
      <c r="J1222" s="105"/>
      <c r="K1222" s="92"/>
      <c r="M1222" s="92"/>
    </row>
    <row r="1223">
      <c r="A1223" s="103"/>
      <c r="C1223" s="92"/>
      <c r="E1223" s="92"/>
      <c r="F1223" s="105"/>
      <c r="I1223" s="105"/>
      <c r="J1223" s="105"/>
      <c r="K1223" s="92"/>
      <c r="M1223" s="92"/>
    </row>
    <row r="1224">
      <c r="A1224" s="103"/>
      <c r="C1224" s="92"/>
      <c r="E1224" s="92"/>
      <c r="F1224" s="105"/>
      <c r="I1224" s="105"/>
      <c r="J1224" s="105"/>
      <c r="K1224" s="92"/>
      <c r="M1224" s="92"/>
    </row>
    <row r="1225">
      <c r="A1225" s="103"/>
      <c r="C1225" s="92"/>
      <c r="E1225" s="92"/>
      <c r="F1225" s="105"/>
      <c r="I1225" s="105"/>
      <c r="J1225" s="105"/>
      <c r="K1225" s="92"/>
      <c r="M1225" s="92"/>
    </row>
    <row r="1226">
      <c r="A1226" s="103"/>
      <c r="C1226" s="92"/>
      <c r="E1226" s="92"/>
      <c r="F1226" s="105"/>
      <c r="I1226" s="105"/>
      <c r="J1226" s="105"/>
      <c r="K1226" s="92"/>
      <c r="M1226" s="92"/>
    </row>
    <row r="1227">
      <c r="A1227" s="103"/>
      <c r="C1227" s="92"/>
      <c r="E1227" s="92"/>
      <c r="F1227" s="105"/>
      <c r="I1227" s="105"/>
      <c r="J1227" s="105"/>
      <c r="K1227" s="92"/>
      <c r="M1227" s="92"/>
    </row>
    <row r="1228">
      <c r="A1228" s="103"/>
      <c r="C1228" s="92"/>
      <c r="E1228" s="92"/>
      <c r="F1228" s="105"/>
      <c r="I1228" s="105"/>
      <c r="J1228" s="105"/>
      <c r="K1228" s="92"/>
      <c r="M1228" s="92"/>
    </row>
    <row r="1229">
      <c r="A1229" s="103"/>
      <c r="C1229" s="92"/>
      <c r="E1229" s="92"/>
      <c r="F1229" s="105"/>
      <c r="I1229" s="105"/>
      <c r="J1229" s="105"/>
      <c r="K1229" s="92"/>
      <c r="M1229" s="92"/>
    </row>
    <row r="1230">
      <c r="A1230" s="103"/>
      <c r="C1230" s="92"/>
      <c r="E1230" s="92"/>
      <c r="F1230" s="105"/>
      <c r="I1230" s="105"/>
      <c r="J1230" s="105"/>
      <c r="K1230" s="92"/>
      <c r="M1230" s="92"/>
    </row>
    <row r="1231">
      <c r="A1231" s="103"/>
      <c r="C1231" s="92"/>
      <c r="E1231" s="92"/>
      <c r="F1231" s="105"/>
      <c r="I1231" s="105"/>
      <c r="J1231" s="105"/>
      <c r="K1231" s="92"/>
      <c r="M1231" s="92"/>
    </row>
    <row r="1232">
      <c r="A1232" s="103"/>
      <c r="C1232" s="92"/>
      <c r="E1232" s="92"/>
      <c r="F1232" s="105"/>
      <c r="I1232" s="105"/>
      <c r="J1232" s="105"/>
      <c r="K1232" s="92"/>
      <c r="M1232" s="92"/>
    </row>
    <row r="1233">
      <c r="A1233" s="103"/>
      <c r="C1233" s="92"/>
      <c r="E1233" s="92"/>
      <c r="F1233" s="105"/>
      <c r="I1233" s="105"/>
      <c r="J1233" s="105"/>
      <c r="K1233" s="92"/>
      <c r="M1233" s="92"/>
    </row>
    <row r="1234">
      <c r="A1234" s="103"/>
      <c r="C1234" s="92"/>
      <c r="E1234" s="92"/>
      <c r="F1234" s="105"/>
      <c r="I1234" s="105"/>
      <c r="J1234" s="105"/>
      <c r="K1234" s="92"/>
      <c r="M1234" s="92"/>
    </row>
    <row r="1235">
      <c r="A1235" s="103"/>
      <c r="C1235" s="92"/>
      <c r="E1235" s="92"/>
      <c r="F1235" s="105"/>
      <c r="I1235" s="105"/>
      <c r="J1235" s="105"/>
      <c r="K1235" s="92"/>
      <c r="M1235" s="92"/>
    </row>
    <row r="1236">
      <c r="A1236" s="103"/>
      <c r="C1236" s="92"/>
      <c r="E1236" s="92"/>
      <c r="F1236" s="105"/>
      <c r="I1236" s="105"/>
      <c r="J1236" s="105"/>
      <c r="K1236" s="92"/>
      <c r="M1236" s="92"/>
    </row>
    <row r="1237">
      <c r="A1237" s="103"/>
      <c r="C1237" s="92"/>
      <c r="E1237" s="92"/>
      <c r="F1237" s="105"/>
      <c r="I1237" s="105"/>
      <c r="J1237" s="105"/>
      <c r="K1237" s="92"/>
      <c r="M1237" s="92"/>
    </row>
    <row r="1238">
      <c r="A1238" s="103"/>
      <c r="C1238" s="92"/>
      <c r="E1238" s="92"/>
      <c r="F1238" s="105"/>
      <c r="I1238" s="105"/>
      <c r="J1238" s="105"/>
      <c r="K1238" s="92"/>
      <c r="M1238" s="92"/>
    </row>
    <row r="1239">
      <c r="A1239" s="103"/>
      <c r="C1239" s="92"/>
      <c r="E1239" s="92"/>
      <c r="F1239" s="105"/>
      <c r="I1239" s="105"/>
      <c r="J1239" s="105"/>
      <c r="K1239" s="92"/>
      <c r="M1239" s="92"/>
    </row>
    <row r="1240">
      <c r="A1240" s="103"/>
      <c r="C1240" s="92"/>
      <c r="E1240" s="92"/>
      <c r="F1240" s="105"/>
      <c r="I1240" s="105"/>
      <c r="J1240" s="105"/>
      <c r="K1240" s="92"/>
      <c r="M1240" s="92"/>
    </row>
    <row r="1241">
      <c r="A1241" s="103"/>
      <c r="C1241" s="92"/>
      <c r="E1241" s="92"/>
      <c r="F1241" s="105"/>
      <c r="I1241" s="105"/>
      <c r="J1241" s="105"/>
      <c r="K1241" s="92"/>
      <c r="M1241" s="92"/>
    </row>
    <row r="1242">
      <c r="A1242" s="103"/>
      <c r="C1242" s="92"/>
      <c r="E1242" s="92"/>
      <c r="F1242" s="105"/>
      <c r="I1242" s="105"/>
      <c r="J1242" s="105"/>
      <c r="K1242" s="92"/>
      <c r="M1242" s="92"/>
    </row>
    <row r="1243">
      <c r="A1243" s="103"/>
      <c r="C1243" s="92"/>
      <c r="E1243" s="92"/>
      <c r="F1243" s="105"/>
      <c r="I1243" s="105"/>
      <c r="J1243" s="105"/>
      <c r="K1243" s="92"/>
      <c r="M1243" s="92"/>
    </row>
    <row r="1244">
      <c r="A1244" s="103"/>
      <c r="C1244" s="92"/>
      <c r="E1244" s="92"/>
      <c r="F1244" s="105"/>
      <c r="I1244" s="105"/>
      <c r="J1244" s="105"/>
      <c r="K1244" s="92"/>
      <c r="M1244" s="92"/>
    </row>
    <row r="1245">
      <c r="A1245" s="103"/>
      <c r="C1245" s="92"/>
      <c r="E1245" s="92"/>
      <c r="F1245" s="105"/>
      <c r="I1245" s="105"/>
      <c r="J1245" s="105"/>
      <c r="K1245" s="92"/>
      <c r="M1245" s="92"/>
    </row>
    <row r="1246">
      <c r="A1246" s="103"/>
      <c r="C1246" s="92"/>
      <c r="E1246" s="92"/>
      <c r="F1246" s="105"/>
      <c r="I1246" s="105"/>
      <c r="J1246" s="105"/>
      <c r="K1246" s="92"/>
      <c r="M1246" s="92"/>
    </row>
    <row r="1247">
      <c r="A1247" s="103"/>
      <c r="C1247" s="92"/>
      <c r="E1247" s="92"/>
      <c r="F1247" s="105"/>
      <c r="I1247" s="105"/>
      <c r="J1247" s="105"/>
      <c r="K1247" s="92"/>
      <c r="M1247" s="92"/>
    </row>
    <row r="1248">
      <c r="A1248" s="103"/>
      <c r="C1248" s="92"/>
      <c r="E1248" s="92"/>
      <c r="F1248" s="105"/>
      <c r="I1248" s="105"/>
      <c r="J1248" s="105"/>
      <c r="K1248" s="92"/>
      <c r="M1248" s="92"/>
    </row>
    <row r="1249">
      <c r="A1249" s="103"/>
      <c r="C1249" s="92"/>
      <c r="E1249" s="92"/>
      <c r="F1249" s="105"/>
      <c r="I1249" s="105"/>
      <c r="J1249" s="105"/>
      <c r="K1249" s="92"/>
      <c r="M1249" s="92"/>
    </row>
    <row r="1250">
      <c r="A1250" s="103"/>
      <c r="C1250" s="92"/>
      <c r="E1250" s="92"/>
      <c r="F1250" s="105"/>
      <c r="I1250" s="105"/>
      <c r="J1250" s="105"/>
      <c r="K1250" s="92"/>
      <c r="M1250" s="92"/>
    </row>
    <row r="1251">
      <c r="A1251" s="103"/>
      <c r="C1251" s="92"/>
      <c r="E1251" s="92"/>
      <c r="F1251" s="105"/>
      <c r="I1251" s="105"/>
      <c r="J1251" s="105"/>
      <c r="K1251" s="92"/>
      <c r="M1251" s="92"/>
    </row>
    <row r="1252">
      <c r="A1252" s="103"/>
      <c r="C1252" s="92"/>
      <c r="E1252" s="92"/>
      <c r="F1252" s="105"/>
      <c r="I1252" s="105"/>
      <c r="J1252" s="105"/>
      <c r="K1252" s="92"/>
      <c r="M1252" s="92"/>
    </row>
    <row r="1253">
      <c r="A1253" s="103"/>
      <c r="C1253" s="92"/>
      <c r="E1253" s="92"/>
      <c r="F1253" s="105"/>
      <c r="I1253" s="105"/>
      <c r="J1253" s="105"/>
      <c r="K1253" s="92"/>
      <c r="M1253" s="92"/>
    </row>
    <row r="1254">
      <c r="A1254" s="103"/>
      <c r="C1254" s="92"/>
      <c r="E1254" s="92"/>
      <c r="F1254" s="105"/>
      <c r="I1254" s="105"/>
      <c r="J1254" s="105"/>
      <c r="K1254" s="92"/>
      <c r="M1254" s="92"/>
    </row>
    <row r="1255">
      <c r="A1255" s="103"/>
      <c r="C1255" s="92"/>
      <c r="E1255" s="92"/>
      <c r="F1255" s="105"/>
      <c r="I1255" s="105"/>
      <c r="J1255" s="105"/>
      <c r="K1255" s="92"/>
      <c r="M1255" s="92"/>
    </row>
    <row r="1256">
      <c r="A1256" s="103"/>
      <c r="C1256" s="92"/>
      <c r="E1256" s="92"/>
      <c r="F1256" s="105"/>
      <c r="I1256" s="105"/>
      <c r="J1256" s="105"/>
      <c r="K1256" s="92"/>
      <c r="M1256" s="92"/>
    </row>
    <row r="1257">
      <c r="A1257" s="103"/>
      <c r="C1257" s="92"/>
      <c r="E1257" s="92"/>
      <c r="F1257" s="105"/>
      <c r="I1257" s="105"/>
      <c r="J1257" s="105"/>
      <c r="K1257" s="92"/>
      <c r="M1257" s="92"/>
    </row>
    <row r="1258">
      <c r="A1258" s="103"/>
      <c r="C1258" s="92"/>
      <c r="E1258" s="92"/>
      <c r="F1258" s="105"/>
      <c r="I1258" s="105"/>
      <c r="J1258" s="105"/>
      <c r="K1258" s="92"/>
      <c r="M1258" s="92"/>
    </row>
    <row r="1259">
      <c r="A1259" s="103"/>
      <c r="C1259" s="92"/>
      <c r="E1259" s="92"/>
      <c r="F1259" s="105"/>
      <c r="I1259" s="105"/>
      <c r="J1259" s="105"/>
      <c r="K1259" s="92"/>
      <c r="M1259" s="92"/>
    </row>
    <row r="1260">
      <c r="A1260" s="103"/>
      <c r="C1260" s="92"/>
      <c r="E1260" s="92"/>
      <c r="F1260" s="105"/>
      <c r="I1260" s="105"/>
      <c r="J1260" s="105"/>
      <c r="K1260" s="92"/>
      <c r="M1260" s="92"/>
    </row>
    <row r="1261">
      <c r="A1261" s="103"/>
      <c r="C1261" s="92"/>
      <c r="E1261" s="92"/>
      <c r="F1261" s="105"/>
      <c r="I1261" s="105"/>
      <c r="J1261" s="105"/>
      <c r="K1261" s="92"/>
      <c r="M1261" s="92"/>
    </row>
    <row r="1262">
      <c r="A1262" s="103"/>
      <c r="C1262" s="92"/>
      <c r="E1262" s="92"/>
      <c r="F1262" s="105"/>
      <c r="I1262" s="105"/>
      <c r="J1262" s="105"/>
      <c r="K1262" s="92"/>
      <c r="M1262" s="92"/>
    </row>
    <row r="1263">
      <c r="A1263" s="103"/>
      <c r="C1263" s="92"/>
      <c r="E1263" s="92"/>
      <c r="F1263" s="105"/>
      <c r="I1263" s="105"/>
      <c r="J1263" s="105"/>
      <c r="K1263" s="92"/>
      <c r="M1263" s="92"/>
    </row>
    <row r="1264">
      <c r="A1264" s="103"/>
      <c r="C1264" s="92"/>
      <c r="E1264" s="92"/>
      <c r="F1264" s="105"/>
      <c r="I1264" s="105"/>
      <c r="J1264" s="105"/>
      <c r="K1264" s="92"/>
      <c r="M1264" s="92"/>
    </row>
    <row r="1265">
      <c r="A1265" s="103"/>
      <c r="C1265" s="92"/>
      <c r="E1265" s="92"/>
      <c r="F1265" s="105"/>
      <c r="I1265" s="105"/>
      <c r="J1265" s="105"/>
      <c r="K1265" s="92"/>
      <c r="M1265" s="92"/>
    </row>
    <row r="1266">
      <c r="A1266" s="103"/>
      <c r="C1266" s="92"/>
      <c r="E1266" s="92"/>
      <c r="F1266" s="105"/>
      <c r="I1266" s="105"/>
      <c r="J1266" s="105"/>
      <c r="K1266" s="92"/>
      <c r="M1266" s="92"/>
    </row>
    <row r="1267">
      <c r="A1267" s="103"/>
      <c r="C1267" s="92"/>
      <c r="E1267" s="92"/>
      <c r="F1267" s="105"/>
      <c r="I1267" s="105"/>
      <c r="J1267" s="105"/>
      <c r="K1267" s="92"/>
      <c r="M1267" s="92"/>
    </row>
    <row r="1268">
      <c r="A1268" s="103"/>
      <c r="C1268" s="92"/>
      <c r="E1268" s="92"/>
      <c r="F1268" s="105"/>
      <c r="I1268" s="105"/>
      <c r="J1268" s="105"/>
      <c r="K1268" s="92"/>
      <c r="M1268" s="92"/>
    </row>
    <row r="1269">
      <c r="A1269" s="103"/>
      <c r="C1269" s="92"/>
      <c r="E1269" s="92"/>
      <c r="F1269" s="105"/>
      <c r="I1269" s="105"/>
      <c r="J1269" s="105"/>
      <c r="K1269" s="92"/>
      <c r="M1269" s="92"/>
    </row>
    <row r="1270">
      <c r="A1270" s="103"/>
      <c r="C1270" s="92"/>
      <c r="E1270" s="92"/>
      <c r="F1270" s="105"/>
      <c r="I1270" s="105"/>
      <c r="J1270" s="105"/>
      <c r="K1270" s="92"/>
      <c r="M1270" s="92"/>
    </row>
    <row r="1271">
      <c r="A1271" s="103"/>
      <c r="C1271" s="92"/>
      <c r="E1271" s="92"/>
      <c r="F1271" s="105"/>
      <c r="I1271" s="105"/>
      <c r="J1271" s="105"/>
      <c r="K1271" s="92"/>
      <c r="M1271" s="92"/>
    </row>
    <row r="1272">
      <c r="A1272" s="103"/>
      <c r="C1272" s="92"/>
      <c r="E1272" s="92"/>
      <c r="F1272" s="105"/>
      <c r="I1272" s="105"/>
      <c r="J1272" s="105"/>
      <c r="K1272" s="92"/>
      <c r="M1272" s="92"/>
    </row>
    <row r="1273">
      <c r="A1273" s="103"/>
      <c r="C1273" s="92"/>
      <c r="E1273" s="92"/>
      <c r="F1273" s="105"/>
      <c r="I1273" s="105"/>
      <c r="J1273" s="105"/>
      <c r="K1273" s="92"/>
      <c r="M1273" s="92"/>
    </row>
    <row r="1274">
      <c r="A1274" s="103"/>
      <c r="C1274" s="92"/>
      <c r="E1274" s="92"/>
      <c r="F1274" s="105"/>
      <c r="I1274" s="105"/>
      <c r="J1274" s="105"/>
      <c r="K1274" s="92"/>
      <c r="M1274" s="92"/>
    </row>
    <row r="1275">
      <c r="A1275" s="103"/>
      <c r="C1275" s="92"/>
      <c r="E1275" s="92"/>
      <c r="F1275" s="105"/>
      <c r="I1275" s="105"/>
      <c r="J1275" s="105"/>
      <c r="K1275" s="92"/>
      <c r="M1275" s="92"/>
    </row>
    <row r="1276">
      <c r="A1276" s="103"/>
      <c r="C1276" s="92"/>
      <c r="E1276" s="92"/>
      <c r="F1276" s="105"/>
      <c r="I1276" s="105"/>
      <c r="J1276" s="105"/>
      <c r="K1276" s="92"/>
      <c r="M1276" s="92"/>
    </row>
    <row r="1277">
      <c r="A1277" s="103"/>
      <c r="C1277" s="92"/>
      <c r="E1277" s="92"/>
      <c r="F1277" s="105"/>
      <c r="I1277" s="105"/>
      <c r="J1277" s="105"/>
      <c r="K1277" s="92"/>
      <c r="M1277" s="92"/>
    </row>
    <row r="1278">
      <c r="A1278" s="103"/>
      <c r="C1278" s="92"/>
      <c r="E1278" s="92"/>
      <c r="F1278" s="105"/>
      <c r="I1278" s="105"/>
      <c r="J1278" s="105"/>
      <c r="K1278" s="92"/>
      <c r="M1278" s="92"/>
    </row>
    <row r="1279">
      <c r="A1279" s="103"/>
      <c r="C1279" s="92"/>
      <c r="E1279" s="92"/>
      <c r="F1279" s="105"/>
      <c r="I1279" s="105"/>
      <c r="J1279" s="105"/>
      <c r="K1279" s="92"/>
      <c r="M1279" s="92"/>
    </row>
    <row r="1280">
      <c r="A1280" s="103"/>
      <c r="C1280" s="92"/>
      <c r="E1280" s="92"/>
      <c r="F1280" s="105"/>
      <c r="I1280" s="105"/>
      <c r="J1280" s="105"/>
      <c r="K1280" s="92"/>
      <c r="M1280" s="92"/>
    </row>
    <row r="1281">
      <c r="A1281" s="103"/>
      <c r="C1281" s="92"/>
      <c r="E1281" s="92"/>
      <c r="F1281" s="105"/>
      <c r="I1281" s="105"/>
      <c r="J1281" s="105"/>
      <c r="K1281" s="92"/>
      <c r="M1281" s="92"/>
    </row>
    <row r="1282">
      <c r="A1282" s="103"/>
      <c r="C1282" s="92"/>
      <c r="E1282" s="92"/>
      <c r="F1282" s="105"/>
      <c r="I1282" s="105"/>
      <c r="J1282" s="105"/>
      <c r="K1282" s="92"/>
      <c r="M1282" s="92"/>
    </row>
    <row r="1283">
      <c r="A1283" s="103"/>
      <c r="C1283" s="92"/>
      <c r="E1283" s="92"/>
      <c r="F1283" s="105"/>
      <c r="I1283" s="105"/>
      <c r="J1283" s="105"/>
      <c r="K1283" s="92"/>
      <c r="M1283" s="92"/>
    </row>
    <row r="1284">
      <c r="A1284" s="103"/>
      <c r="C1284" s="92"/>
      <c r="E1284" s="92"/>
      <c r="F1284" s="105"/>
      <c r="I1284" s="105"/>
      <c r="J1284" s="105"/>
      <c r="K1284" s="92"/>
      <c r="M1284" s="92"/>
    </row>
    <row r="1285">
      <c r="A1285" s="103"/>
      <c r="C1285" s="92"/>
      <c r="E1285" s="92"/>
      <c r="F1285" s="105"/>
      <c r="I1285" s="105"/>
      <c r="J1285" s="105"/>
      <c r="K1285" s="92"/>
      <c r="M1285" s="92"/>
    </row>
    <row r="1286">
      <c r="A1286" s="103"/>
      <c r="C1286" s="92"/>
      <c r="E1286" s="92"/>
      <c r="F1286" s="105"/>
      <c r="I1286" s="105"/>
      <c r="J1286" s="105"/>
      <c r="K1286" s="92"/>
      <c r="M1286" s="92"/>
    </row>
    <row r="1287">
      <c r="A1287" s="103"/>
      <c r="C1287" s="92"/>
      <c r="E1287" s="92"/>
      <c r="F1287" s="105"/>
      <c r="I1287" s="105"/>
      <c r="J1287" s="105"/>
      <c r="K1287" s="92"/>
      <c r="M1287" s="92"/>
    </row>
    <row r="1288">
      <c r="A1288" s="103"/>
      <c r="C1288" s="92"/>
      <c r="E1288" s="92"/>
      <c r="F1288" s="105"/>
      <c r="I1288" s="105"/>
      <c r="J1288" s="105"/>
      <c r="K1288" s="92"/>
      <c r="M1288" s="92"/>
    </row>
    <row r="1289">
      <c r="A1289" s="103"/>
      <c r="C1289" s="92"/>
      <c r="E1289" s="92"/>
      <c r="F1289" s="105"/>
      <c r="I1289" s="105"/>
      <c r="J1289" s="105"/>
      <c r="K1289" s="92"/>
      <c r="M1289" s="92"/>
    </row>
    <row r="1290">
      <c r="A1290" s="103"/>
      <c r="C1290" s="92"/>
      <c r="E1290" s="92"/>
      <c r="F1290" s="105"/>
      <c r="I1290" s="105"/>
      <c r="J1290" s="105"/>
      <c r="K1290" s="92"/>
      <c r="M1290" s="92"/>
    </row>
    <row r="1291">
      <c r="A1291" s="103"/>
      <c r="C1291" s="92"/>
      <c r="E1291" s="92"/>
      <c r="F1291" s="105"/>
      <c r="I1291" s="105"/>
      <c r="J1291" s="105"/>
      <c r="K1291" s="92"/>
      <c r="M1291" s="92"/>
    </row>
    <row r="1292">
      <c r="A1292" s="103"/>
      <c r="C1292" s="92"/>
      <c r="E1292" s="92"/>
      <c r="F1292" s="105"/>
      <c r="I1292" s="105"/>
      <c r="J1292" s="105"/>
      <c r="K1292" s="92"/>
      <c r="M1292" s="92"/>
    </row>
    <row r="1293">
      <c r="A1293" s="103"/>
      <c r="C1293" s="92"/>
      <c r="E1293" s="92"/>
      <c r="F1293" s="105"/>
      <c r="I1293" s="105"/>
      <c r="J1293" s="105"/>
      <c r="K1293" s="92"/>
      <c r="M1293" s="92"/>
    </row>
    <row r="1294">
      <c r="A1294" s="103"/>
      <c r="C1294" s="92"/>
      <c r="E1294" s="92"/>
      <c r="F1294" s="105"/>
      <c r="I1294" s="105"/>
      <c r="J1294" s="105"/>
      <c r="K1294" s="92"/>
      <c r="M1294" s="92"/>
    </row>
    <row r="1295">
      <c r="A1295" s="103"/>
      <c r="C1295" s="92"/>
      <c r="E1295" s="92"/>
      <c r="F1295" s="105"/>
      <c r="I1295" s="105"/>
      <c r="J1295" s="105"/>
      <c r="K1295" s="92"/>
      <c r="M1295" s="92"/>
    </row>
    <row r="1296">
      <c r="A1296" s="103"/>
      <c r="C1296" s="92"/>
      <c r="E1296" s="92"/>
      <c r="F1296" s="105"/>
      <c r="I1296" s="105"/>
      <c r="J1296" s="105"/>
      <c r="K1296" s="92"/>
      <c r="M1296" s="92"/>
    </row>
    <row r="1297">
      <c r="A1297" s="103"/>
      <c r="C1297" s="92"/>
      <c r="E1297" s="92"/>
      <c r="F1297" s="105"/>
      <c r="I1297" s="105"/>
      <c r="J1297" s="105"/>
      <c r="K1297" s="92"/>
      <c r="M1297" s="92"/>
    </row>
    <row r="1298">
      <c r="A1298" s="103"/>
      <c r="C1298" s="92"/>
      <c r="E1298" s="92"/>
      <c r="F1298" s="105"/>
      <c r="I1298" s="105"/>
      <c r="J1298" s="105"/>
      <c r="K1298" s="92"/>
      <c r="M1298" s="92"/>
    </row>
    <row r="1299">
      <c r="A1299" s="103"/>
      <c r="C1299" s="92"/>
      <c r="E1299" s="92"/>
      <c r="F1299" s="105"/>
      <c r="I1299" s="105"/>
      <c r="J1299" s="105"/>
      <c r="K1299" s="92"/>
      <c r="M1299" s="92"/>
    </row>
    <row r="1300">
      <c r="A1300" s="103"/>
      <c r="C1300" s="92"/>
      <c r="E1300" s="92"/>
      <c r="F1300" s="105"/>
      <c r="I1300" s="105"/>
      <c r="J1300" s="105"/>
      <c r="K1300" s="92"/>
      <c r="M1300" s="92"/>
    </row>
    <row r="1301">
      <c r="A1301" s="103"/>
      <c r="C1301" s="92"/>
      <c r="E1301" s="92"/>
      <c r="F1301" s="105"/>
      <c r="I1301" s="105"/>
      <c r="J1301" s="105"/>
      <c r="K1301" s="92"/>
      <c r="M1301" s="92"/>
    </row>
    <row r="1302">
      <c r="A1302" s="103"/>
      <c r="C1302" s="92"/>
      <c r="E1302" s="92"/>
      <c r="F1302" s="105"/>
      <c r="I1302" s="105"/>
      <c r="J1302" s="105"/>
      <c r="K1302" s="92"/>
      <c r="M1302" s="92"/>
    </row>
    <row r="1303">
      <c r="A1303" s="103"/>
      <c r="C1303" s="92"/>
      <c r="E1303" s="92"/>
      <c r="F1303" s="105"/>
      <c r="I1303" s="105"/>
      <c r="J1303" s="105"/>
      <c r="K1303" s="92"/>
      <c r="M1303" s="92"/>
    </row>
    <row r="1304">
      <c r="A1304" s="103"/>
      <c r="C1304" s="92"/>
      <c r="E1304" s="92"/>
      <c r="F1304" s="105"/>
      <c r="I1304" s="105"/>
      <c r="J1304" s="105"/>
      <c r="K1304" s="92"/>
      <c r="M1304" s="92"/>
    </row>
    <row r="1305">
      <c r="A1305" s="103"/>
      <c r="C1305" s="92"/>
      <c r="E1305" s="92"/>
      <c r="F1305" s="105"/>
      <c r="I1305" s="105"/>
      <c r="J1305" s="105"/>
      <c r="K1305" s="92"/>
      <c r="M1305" s="92"/>
    </row>
    <row r="1306">
      <c r="A1306" s="103"/>
      <c r="C1306" s="92"/>
      <c r="E1306" s="92"/>
      <c r="F1306" s="105"/>
      <c r="I1306" s="105"/>
      <c r="J1306" s="105"/>
      <c r="K1306" s="92"/>
      <c r="M1306" s="92"/>
    </row>
    <row r="1307">
      <c r="A1307" s="103"/>
      <c r="C1307" s="92"/>
      <c r="E1307" s="92"/>
      <c r="F1307" s="105"/>
      <c r="I1307" s="105"/>
      <c r="J1307" s="105"/>
      <c r="K1307" s="92"/>
      <c r="M1307" s="92"/>
    </row>
    <row r="1308">
      <c r="A1308" s="103"/>
      <c r="C1308" s="92"/>
      <c r="E1308" s="92"/>
      <c r="F1308" s="105"/>
      <c r="I1308" s="105"/>
      <c r="J1308" s="105"/>
      <c r="K1308" s="92"/>
      <c r="M1308" s="92"/>
    </row>
    <row r="1309">
      <c r="A1309" s="103"/>
      <c r="C1309" s="92"/>
      <c r="E1309" s="92"/>
      <c r="F1309" s="105"/>
      <c r="I1309" s="105"/>
      <c r="J1309" s="105"/>
      <c r="K1309" s="92"/>
      <c r="M1309" s="92"/>
    </row>
    <row r="1310">
      <c r="A1310" s="103"/>
      <c r="C1310" s="92"/>
      <c r="E1310" s="92"/>
      <c r="F1310" s="105"/>
      <c r="I1310" s="105"/>
      <c r="J1310" s="105"/>
      <c r="K1310" s="92"/>
      <c r="M1310" s="92"/>
    </row>
    <row r="1311">
      <c r="A1311" s="103"/>
      <c r="C1311" s="92"/>
      <c r="E1311" s="92"/>
      <c r="F1311" s="105"/>
      <c r="I1311" s="105"/>
      <c r="J1311" s="105"/>
      <c r="K1311" s="92"/>
      <c r="M1311" s="92"/>
    </row>
    <row r="1312">
      <c r="A1312" s="103"/>
      <c r="C1312" s="92"/>
      <c r="E1312" s="92"/>
      <c r="F1312" s="105"/>
      <c r="I1312" s="105"/>
      <c r="J1312" s="105"/>
      <c r="K1312" s="92"/>
      <c r="M1312" s="92"/>
    </row>
    <row r="1313">
      <c r="A1313" s="103"/>
      <c r="C1313" s="92"/>
      <c r="E1313" s="92"/>
      <c r="F1313" s="105"/>
      <c r="I1313" s="105"/>
      <c r="J1313" s="105"/>
      <c r="K1313" s="92"/>
      <c r="M1313" s="92"/>
    </row>
    <row r="1314">
      <c r="A1314" s="103"/>
      <c r="C1314" s="92"/>
      <c r="E1314" s="92"/>
      <c r="F1314" s="105"/>
      <c r="I1314" s="105"/>
      <c r="J1314" s="105"/>
      <c r="K1314" s="92"/>
      <c r="M1314" s="92"/>
    </row>
    <row r="1315">
      <c r="A1315" s="103"/>
      <c r="C1315" s="92"/>
      <c r="E1315" s="92"/>
      <c r="F1315" s="105"/>
      <c r="I1315" s="105"/>
      <c r="J1315" s="105"/>
      <c r="K1315" s="92"/>
      <c r="M1315" s="92"/>
    </row>
    <row r="1316">
      <c r="A1316" s="103"/>
      <c r="C1316" s="92"/>
      <c r="E1316" s="92"/>
      <c r="F1316" s="105"/>
      <c r="I1316" s="105"/>
      <c r="J1316" s="105"/>
      <c r="K1316" s="92"/>
      <c r="M1316" s="92"/>
    </row>
    <row r="1317">
      <c r="A1317" s="103"/>
      <c r="C1317" s="92"/>
      <c r="E1317" s="92"/>
      <c r="F1317" s="105"/>
      <c r="I1317" s="105"/>
      <c r="J1317" s="105"/>
      <c r="K1317" s="92"/>
      <c r="M1317" s="92"/>
    </row>
    <row r="1318">
      <c r="A1318" s="103"/>
      <c r="C1318" s="92"/>
      <c r="E1318" s="92"/>
      <c r="F1318" s="105"/>
      <c r="I1318" s="105"/>
      <c r="J1318" s="105"/>
      <c r="K1318" s="92"/>
      <c r="M1318" s="92"/>
    </row>
    <row r="1319">
      <c r="A1319" s="103"/>
      <c r="C1319" s="92"/>
      <c r="E1319" s="92"/>
      <c r="F1319" s="105"/>
      <c r="I1319" s="105"/>
      <c r="J1319" s="105"/>
      <c r="K1319" s="92"/>
      <c r="M1319" s="92"/>
    </row>
    <row r="1320">
      <c r="A1320" s="103"/>
      <c r="C1320" s="92"/>
      <c r="E1320" s="92"/>
      <c r="F1320" s="105"/>
      <c r="I1320" s="105"/>
      <c r="J1320" s="105"/>
      <c r="K1320" s="92"/>
      <c r="M1320" s="92"/>
    </row>
    <row r="1321">
      <c r="A1321" s="103"/>
      <c r="C1321" s="92"/>
      <c r="E1321" s="92"/>
      <c r="F1321" s="105"/>
      <c r="I1321" s="105"/>
      <c r="J1321" s="105"/>
      <c r="K1321" s="92"/>
      <c r="M1321" s="92"/>
    </row>
    <row r="1322">
      <c r="A1322" s="103"/>
      <c r="C1322" s="92"/>
      <c r="E1322" s="92"/>
      <c r="F1322" s="105"/>
      <c r="I1322" s="105"/>
      <c r="J1322" s="105"/>
      <c r="K1322" s="92"/>
      <c r="M1322" s="92"/>
    </row>
    <row r="1323">
      <c r="A1323" s="103"/>
      <c r="C1323" s="92"/>
      <c r="E1323" s="92"/>
      <c r="F1323" s="105"/>
      <c r="I1323" s="105"/>
      <c r="J1323" s="105"/>
      <c r="K1323" s="92"/>
      <c r="M1323" s="92"/>
    </row>
    <row r="1324">
      <c r="A1324" s="103"/>
      <c r="C1324" s="92"/>
      <c r="E1324" s="92"/>
      <c r="F1324" s="105"/>
      <c r="I1324" s="105"/>
      <c r="J1324" s="105"/>
      <c r="K1324" s="92"/>
      <c r="M1324" s="92"/>
    </row>
    <row r="1325">
      <c r="A1325" s="103"/>
      <c r="C1325" s="92"/>
      <c r="E1325" s="92"/>
      <c r="F1325" s="105"/>
      <c r="I1325" s="105"/>
      <c r="J1325" s="105"/>
      <c r="K1325" s="92"/>
      <c r="M1325" s="92"/>
    </row>
    <row r="1326">
      <c r="A1326" s="103"/>
      <c r="C1326" s="92"/>
      <c r="E1326" s="92"/>
      <c r="F1326" s="105"/>
      <c r="I1326" s="105"/>
      <c r="J1326" s="105"/>
      <c r="K1326" s="92"/>
      <c r="M1326" s="92"/>
    </row>
    <row r="1327">
      <c r="A1327" s="103"/>
      <c r="C1327" s="92"/>
      <c r="E1327" s="92"/>
      <c r="F1327" s="105"/>
      <c r="I1327" s="105"/>
      <c r="J1327" s="105"/>
      <c r="K1327" s="92"/>
      <c r="M1327" s="92"/>
    </row>
    <row r="1328">
      <c r="A1328" s="103"/>
      <c r="C1328" s="92"/>
      <c r="E1328" s="92"/>
      <c r="F1328" s="105"/>
      <c r="I1328" s="105"/>
      <c r="J1328" s="105"/>
      <c r="K1328" s="92"/>
      <c r="M1328" s="92"/>
    </row>
    <row r="1329">
      <c r="A1329" s="103"/>
      <c r="C1329" s="92"/>
      <c r="E1329" s="92"/>
      <c r="F1329" s="105"/>
      <c r="I1329" s="105"/>
      <c r="J1329" s="105"/>
      <c r="K1329" s="92"/>
      <c r="M1329" s="92"/>
    </row>
    <row r="1330">
      <c r="A1330" s="103"/>
      <c r="C1330" s="92"/>
      <c r="E1330" s="92"/>
      <c r="F1330" s="105"/>
      <c r="I1330" s="105"/>
      <c r="J1330" s="105"/>
      <c r="K1330" s="92"/>
      <c r="M1330" s="92"/>
    </row>
    <row r="1331">
      <c r="A1331" s="103"/>
      <c r="C1331" s="92"/>
      <c r="E1331" s="92"/>
      <c r="F1331" s="105"/>
      <c r="I1331" s="105"/>
      <c r="J1331" s="105"/>
      <c r="K1331" s="92"/>
      <c r="M1331" s="92"/>
    </row>
    <row r="1332">
      <c r="A1332" s="103"/>
      <c r="C1332" s="92"/>
      <c r="E1332" s="92"/>
      <c r="F1332" s="105"/>
      <c r="I1332" s="105"/>
      <c r="J1332" s="105"/>
      <c r="K1332" s="92"/>
      <c r="M1332" s="92"/>
    </row>
    <row r="1333">
      <c r="A1333" s="103"/>
      <c r="C1333" s="92"/>
      <c r="E1333" s="92"/>
      <c r="F1333" s="105"/>
      <c r="I1333" s="105"/>
      <c r="J1333" s="105"/>
      <c r="K1333" s="92"/>
      <c r="M1333" s="92"/>
    </row>
    <row r="1334">
      <c r="A1334" s="103"/>
      <c r="C1334" s="92"/>
      <c r="E1334" s="92"/>
      <c r="F1334" s="105"/>
      <c r="I1334" s="105"/>
      <c r="J1334" s="105"/>
      <c r="K1334" s="92"/>
      <c r="M1334" s="92"/>
    </row>
    <row r="1335">
      <c r="A1335" s="103"/>
      <c r="C1335" s="92"/>
      <c r="E1335" s="92"/>
      <c r="F1335" s="105"/>
      <c r="I1335" s="105"/>
      <c r="J1335" s="105"/>
      <c r="K1335" s="92"/>
      <c r="M1335" s="92"/>
    </row>
    <row r="1336">
      <c r="A1336" s="103"/>
      <c r="C1336" s="92"/>
      <c r="E1336" s="92"/>
      <c r="F1336" s="105"/>
      <c r="I1336" s="105"/>
      <c r="J1336" s="105"/>
      <c r="K1336" s="92"/>
      <c r="M1336" s="92"/>
    </row>
    <row r="1337">
      <c r="A1337" s="103"/>
      <c r="C1337" s="92"/>
      <c r="E1337" s="92"/>
      <c r="F1337" s="105"/>
      <c r="I1337" s="105"/>
      <c r="J1337" s="105"/>
      <c r="K1337" s="92"/>
      <c r="M1337" s="92"/>
    </row>
    <row r="1338">
      <c r="A1338" s="103"/>
      <c r="C1338" s="92"/>
      <c r="E1338" s="92"/>
      <c r="F1338" s="105"/>
      <c r="I1338" s="105"/>
      <c r="J1338" s="105"/>
      <c r="K1338" s="92"/>
      <c r="M1338" s="92"/>
    </row>
    <row r="1339">
      <c r="A1339" s="103"/>
      <c r="C1339" s="92"/>
      <c r="E1339" s="92"/>
      <c r="F1339" s="105"/>
      <c r="I1339" s="105"/>
      <c r="J1339" s="105"/>
      <c r="K1339" s="92"/>
      <c r="M1339" s="92"/>
    </row>
    <row r="1340">
      <c r="A1340" s="103"/>
      <c r="C1340" s="92"/>
      <c r="E1340" s="92"/>
      <c r="F1340" s="105"/>
      <c r="I1340" s="105"/>
      <c r="J1340" s="105"/>
      <c r="K1340" s="92"/>
      <c r="M1340" s="92"/>
    </row>
    <row r="1341">
      <c r="A1341" s="103"/>
      <c r="C1341" s="92"/>
      <c r="E1341" s="92"/>
      <c r="F1341" s="105"/>
      <c r="I1341" s="105"/>
      <c r="J1341" s="105"/>
      <c r="K1341" s="92"/>
      <c r="M1341" s="92"/>
    </row>
    <row r="1342">
      <c r="A1342" s="103"/>
      <c r="C1342" s="92"/>
      <c r="E1342" s="92"/>
      <c r="F1342" s="105"/>
      <c r="I1342" s="105"/>
      <c r="J1342" s="105"/>
      <c r="K1342" s="92"/>
      <c r="M1342" s="92"/>
    </row>
    <row r="1343">
      <c r="A1343" s="103"/>
      <c r="C1343" s="92"/>
      <c r="E1343" s="92"/>
      <c r="F1343" s="105"/>
      <c r="I1343" s="105"/>
      <c r="J1343" s="105"/>
      <c r="K1343" s="92"/>
      <c r="M1343" s="92"/>
    </row>
    <row r="1344">
      <c r="A1344" s="103"/>
      <c r="C1344" s="92"/>
      <c r="E1344" s="92"/>
      <c r="F1344" s="105"/>
      <c r="I1344" s="105"/>
      <c r="J1344" s="105"/>
      <c r="K1344" s="92"/>
      <c r="M1344" s="92"/>
    </row>
    <row r="1345">
      <c r="A1345" s="103"/>
      <c r="C1345" s="92"/>
      <c r="E1345" s="92"/>
      <c r="F1345" s="105"/>
      <c r="I1345" s="105"/>
      <c r="J1345" s="105"/>
      <c r="K1345" s="92"/>
      <c r="M1345" s="92"/>
    </row>
    <row r="1346">
      <c r="A1346" s="103"/>
      <c r="C1346" s="92"/>
      <c r="E1346" s="92"/>
      <c r="F1346" s="105"/>
      <c r="I1346" s="105"/>
      <c r="J1346" s="105"/>
      <c r="K1346" s="92"/>
      <c r="M1346" s="92"/>
    </row>
    <row r="1347">
      <c r="A1347" s="103"/>
      <c r="C1347" s="92"/>
      <c r="E1347" s="92"/>
      <c r="F1347" s="105"/>
      <c r="I1347" s="105"/>
      <c r="J1347" s="105"/>
      <c r="K1347" s="92"/>
      <c r="M1347" s="92"/>
    </row>
    <row r="1348">
      <c r="A1348" s="103"/>
      <c r="C1348" s="92"/>
      <c r="E1348" s="92"/>
      <c r="F1348" s="105"/>
      <c r="I1348" s="105"/>
      <c r="J1348" s="105"/>
      <c r="K1348" s="92"/>
      <c r="M1348" s="92"/>
    </row>
    <row r="1349">
      <c r="A1349" s="103"/>
      <c r="C1349" s="92"/>
      <c r="E1349" s="92"/>
      <c r="F1349" s="105"/>
      <c r="I1349" s="105"/>
      <c r="J1349" s="105"/>
      <c r="K1349" s="92"/>
      <c r="M1349" s="92"/>
    </row>
    <row r="1350">
      <c r="A1350" s="103"/>
      <c r="C1350" s="92"/>
      <c r="E1350" s="92"/>
      <c r="F1350" s="105"/>
      <c r="I1350" s="105"/>
      <c r="J1350" s="105"/>
      <c r="K1350" s="92"/>
      <c r="M1350" s="92"/>
    </row>
    <row r="1351">
      <c r="A1351" s="103"/>
      <c r="C1351" s="92"/>
      <c r="E1351" s="92"/>
      <c r="F1351" s="105"/>
      <c r="I1351" s="105"/>
      <c r="J1351" s="105"/>
      <c r="K1351" s="92"/>
      <c r="M1351" s="92"/>
    </row>
    <row r="1352">
      <c r="A1352" s="103"/>
      <c r="C1352" s="92"/>
      <c r="E1352" s="92"/>
      <c r="F1352" s="105"/>
      <c r="I1352" s="105"/>
      <c r="J1352" s="105"/>
      <c r="K1352" s="92"/>
      <c r="M1352" s="92"/>
    </row>
    <row r="1353">
      <c r="A1353" s="103"/>
      <c r="C1353" s="92"/>
      <c r="E1353" s="92"/>
      <c r="F1353" s="105"/>
      <c r="I1353" s="105"/>
      <c r="J1353" s="105"/>
      <c r="K1353" s="92"/>
      <c r="M1353" s="92"/>
    </row>
    <row r="1354">
      <c r="A1354" s="103"/>
      <c r="C1354" s="92"/>
      <c r="E1354" s="92"/>
      <c r="F1354" s="105"/>
      <c r="I1354" s="105"/>
      <c r="J1354" s="105"/>
      <c r="K1354" s="92"/>
      <c r="M1354" s="92"/>
    </row>
    <row r="1355">
      <c r="A1355" s="103"/>
      <c r="C1355" s="92"/>
      <c r="E1355" s="92"/>
      <c r="F1355" s="105"/>
      <c r="I1355" s="105"/>
      <c r="J1355" s="105"/>
      <c r="K1355" s="92"/>
      <c r="M1355" s="92"/>
    </row>
    <row r="1356">
      <c r="A1356" s="103"/>
      <c r="C1356" s="92"/>
      <c r="E1356" s="92"/>
      <c r="F1356" s="105"/>
      <c r="I1356" s="105"/>
      <c r="J1356" s="105"/>
      <c r="K1356" s="92"/>
      <c r="M1356" s="92"/>
    </row>
    <row r="1357">
      <c r="A1357" s="103"/>
      <c r="C1357" s="92"/>
      <c r="E1357" s="92"/>
      <c r="F1357" s="105"/>
      <c r="I1357" s="105"/>
      <c r="J1357" s="105"/>
      <c r="K1357" s="92"/>
      <c r="M1357" s="92"/>
    </row>
    <row r="1358">
      <c r="A1358" s="103"/>
      <c r="C1358" s="92"/>
      <c r="E1358" s="92"/>
      <c r="F1358" s="105"/>
      <c r="I1358" s="105"/>
      <c r="J1358" s="105"/>
      <c r="K1358" s="92"/>
      <c r="M1358" s="92"/>
    </row>
    <row r="1359">
      <c r="A1359" s="103"/>
      <c r="C1359" s="92"/>
      <c r="E1359" s="92"/>
      <c r="F1359" s="105"/>
      <c r="I1359" s="105"/>
      <c r="J1359" s="105"/>
      <c r="K1359" s="92"/>
      <c r="M1359" s="92"/>
    </row>
    <row r="1360">
      <c r="A1360" s="103"/>
      <c r="C1360" s="92"/>
      <c r="E1360" s="92"/>
      <c r="F1360" s="105"/>
      <c r="I1360" s="105"/>
      <c r="J1360" s="105"/>
      <c r="K1360" s="92"/>
      <c r="M1360" s="92"/>
    </row>
    <row r="1361">
      <c r="A1361" s="103"/>
      <c r="C1361" s="92"/>
      <c r="E1361" s="92"/>
      <c r="F1361" s="105"/>
      <c r="I1361" s="105"/>
      <c r="J1361" s="105"/>
      <c r="K1361" s="92"/>
      <c r="M1361" s="92"/>
    </row>
    <row r="1362">
      <c r="A1362" s="103"/>
      <c r="C1362" s="92"/>
      <c r="E1362" s="92"/>
      <c r="F1362" s="105"/>
      <c r="I1362" s="105"/>
      <c r="J1362" s="105"/>
      <c r="K1362" s="92"/>
      <c r="M1362" s="92"/>
    </row>
    <row r="1363">
      <c r="A1363" s="103"/>
      <c r="C1363" s="92"/>
      <c r="E1363" s="92"/>
      <c r="F1363" s="105"/>
      <c r="I1363" s="105"/>
      <c r="J1363" s="105"/>
      <c r="K1363" s="92"/>
      <c r="M1363" s="92"/>
    </row>
    <row r="1364">
      <c r="A1364" s="103"/>
      <c r="C1364" s="92"/>
      <c r="E1364" s="92"/>
      <c r="F1364" s="105"/>
      <c r="I1364" s="105"/>
      <c r="J1364" s="105"/>
      <c r="K1364" s="92"/>
      <c r="M1364" s="92"/>
    </row>
    <row r="1365">
      <c r="A1365" s="103"/>
      <c r="C1365" s="92"/>
      <c r="E1365" s="92"/>
      <c r="F1365" s="105"/>
      <c r="I1365" s="105"/>
      <c r="J1365" s="105"/>
      <c r="K1365" s="92"/>
      <c r="M1365" s="92"/>
    </row>
    <row r="1366">
      <c r="A1366" s="103"/>
      <c r="C1366" s="92"/>
      <c r="E1366" s="92"/>
      <c r="F1366" s="105"/>
      <c r="I1366" s="105"/>
      <c r="J1366" s="105"/>
      <c r="K1366" s="92"/>
      <c r="M1366" s="92"/>
    </row>
    <row r="1367">
      <c r="A1367" s="103"/>
      <c r="C1367" s="92"/>
      <c r="E1367" s="92"/>
      <c r="F1367" s="105"/>
      <c r="I1367" s="105"/>
      <c r="J1367" s="105"/>
      <c r="K1367" s="92"/>
      <c r="M1367" s="92"/>
    </row>
    <row r="1368">
      <c r="A1368" s="103"/>
      <c r="C1368" s="92"/>
      <c r="E1368" s="92"/>
      <c r="F1368" s="105"/>
      <c r="I1368" s="105"/>
      <c r="J1368" s="105"/>
      <c r="K1368" s="92"/>
      <c r="M1368" s="92"/>
    </row>
    <row r="1369">
      <c r="A1369" s="103"/>
      <c r="C1369" s="92"/>
      <c r="E1369" s="92"/>
      <c r="F1369" s="105"/>
      <c r="I1369" s="105"/>
      <c r="J1369" s="105"/>
      <c r="K1369" s="92"/>
      <c r="M1369" s="92"/>
    </row>
    <row r="1370">
      <c r="A1370" s="103"/>
      <c r="C1370" s="92"/>
      <c r="E1370" s="92"/>
      <c r="F1370" s="105"/>
      <c r="I1370" s="105"/>
      <c r="J1370" s="105"/>
      <c r="K1370" s="92"/>
      <c r="M1370" s="92"/>
    </row>
    <row r="1371">
      <c r="A1371" s="103"/>
      <c r="C1371" s="92"/>
      <c r="E1371" s="92"/>
      <c r="F1371" s="105"/>
      <c r="I1371" s="105"/>
      <c r="J1371" s="105"/>
      <c r="K1371" s="92"/>
      <c r="M1371" s="92"/>
    </row>
    <row r="1372">
      <c r="A1372" s="103"/>
      <c r="C1372" s="92"/>
      <c r="E1372" s="92"/>
      <c r="F1372" s="105"/>
      <c r="I1372" s="105"/>
      <c r="J1372" s="105"/>
      <c r="K1372" s="92"/>
      <c r="M1372" s="92"/>
    </row>
    <row r="1373">
      <c r="A1373" s="103"/>
      <c r="C1373" s="92"/>
      <c r="E1373" s="92"/>
      <c r="F1373" s="105"/>
      <c r="I1373" s="105"/>
      <c r="J1373" s="105"/>
      <c r="K1373" s="92"/>
      <c r="M1373" s="92"/>
    </row>
    <row r="1374">
      <c r="A1374" s="103"/>
      <c r="C1374" s="92"/>
      <c r="E1374" s="92"/>
      <c r="F1374" s="105"/>
      <c r="I1374" s="105"/>
      <c r="J1374" s="105"/>
      <c r="K1374" s="92"/>
      <c r="M1374" s="92"/>
    </row>
    <row r="1375">
      <c r="A1375" s="103"/>
      <c r="C1375" s="92"/>
      <c r="E1375" s="92"/>
      <c r="F1375" s="105"/>
      <c r="I1375" s="105"/>
      <c r="J1375" s="105"/>
      <c r="K1375" s="92"/>
      <c r="M1375" s="92"/>
    </row>
    <row r="1376">
      <c r="A1376" s="103"/>
      <c r="C1376" s="92"/>
      <c r="E1376" s="92"/>
      <c r="F1376" s="105"/>
      <c r="I1376" s="105"/>
      <c r="J1376" s="105"/>
      <c r="K1376" s="92"/>
      <c r="M1376" s="92"/>
    </row>
    <row r="1377">
      <c r="A1377" s="103"/>
      <c r="C1377" s="92"/>
      <c r="E1377" s="92"/>
      <c r="F1377" s="105"/>
      <c r="I1377" s="105"/>
      <c r="J1377" s="105"/>
      <c r="K1377" s="92"/>
      <c r="M1377" s="92"/>
    </row>
    <row r="1378">
      <c r="A1378" s="103"/>
      <c r="C1378" s="92"/>
      <c r="E1378" s="92"/>
      <c r="F1378" s="105"/>
      <c r="I1378" s="105"/>
      <c r="J1378" s="105"/>
      <c r="K1378" s="92"/>
      <c r="M1378" s="92"/>
    </row>
    <row r="1379">
      <c r="A1379" s="103"/>
      <c r="C1379" s="92"/>
      <c r="E1379" s="92"/>
      <c r="F1379" s="105"/>
      <c r="I1379" s="105"/>
      <c r="J1379" s="105"/>
      <c r="K1379" s="92"/>
      <c r="M1379" s="92"/>
    </row>
    <row r="1380">
      <c r="A1380" s="103"/>
      <c r="C1380" s="92"/>
      <c r="E1380" s="92"/>
      <c r="F1380" s="105"/>
      <c r="I1380" s="105"/>
      <c r="J1380" s="105"/>
      <c r="K1380" s="92"/>
      <c r="M1380" s="92"/>
    </row>
    <row r="1381">
      <c r="A1381" s="103"/>
      <c r="C1381" s="92"/>
      <c r="E1381" s="92"/>
      <c r="F1381" s="105"/>
      <c r="I1381" s="105"/>
      <c r="J1381" s="105"/>
      <c r="K1381" s="92"/>
      <c r="M1381" s="92"/>
    </row>
    <row r="1382">
      <c r="A1382" s="103"/>
      <c r="C1382" s="92"/>
      <c r="E1382" s="92"/>
      <c r="F1382" s="105"/>
      <c r="I1382" s="105"/>
      <c r="J1382" s="105"/>
      <c r="K1382" s="92"/>
      <c r="M1382" s="92"/>
    </row>
    <row r="1383">
      <c r="A1383" s="103"/>
      <c r="C1383" s="92"/>
      <c r="E1383" s="92"/>
      <c r="F1383" s="105"/>
      <c r="I1383" s="105"/>
      <c r="J1383" s="105"/>
      <c r="K1383" s="92"/>
      <c r="M1383" s="92"/>
    </row>
    <row r="1384">
      <c r="A1384" s="103"/>
      <c r="C1384" s="92"/>
      <c r="E1384" s="92"/>
      <c r="F1384" s="105"/>
      <c r="I1384" s="105"/>
      <c r="J1384" s="105"/>
      <c r="K1384" s="92"/>
      <c r="M1384" s="92"/>
    </row>
    <row r="1385">
      <c r="A1385" s="103"/>
      <c r="C1385" s="92"/>
      <c r="E1385" s="92"/>
      <c r="F1385" s="105"/>
      <c r="I1385" s="105"/>
      <c r="J1385" s="105"/>
      <c r="K1385" s="92"/>
      <c r="M1385" s="92"/>
    </row>
    <row r="1386">
      <c r="A1386" s="103"/>
      <c r="C1386" s="92"/>
      <c r="E1386" s="92"/>
      <c r="F1386" s="105"/>
      <c r="I1386" s="105"/>
      <c r="J1386" s="105"/>
      <c r="K1386" s="92"/>
      <c r="M1386" s="92"/>
    </row>
    <row r="1387">
      <c r="A1387" s="103"/>
      <c r="C1387" s="92"/>
      <c r="E1387" s="92"/>
      <c r="F1387" s="105"/>
      <c r="I1387" s="105"/>
      <c r="J1387" s="105"/>
      <c r="K1387" s="92"/>
      <c r="M1387" s="92"/>
    </row>
    <row r="1388">
      <c r="A1388" s="103"/>
      <c r="C1388" s="92"/>
      <c r="E1388" s="92"/>
      <c r="F1388" s="105"/>
      <c r="I1388" s="105"/>
      <c r="J1388" s="105"/>
      <c r="K1388" s="92"/>
      <c r="M1388" s="92"/>
    </row>
    <row r="1389">
      <c r="A1389" s="103"/>
      <c r="C1389" s="92"/>
      <c r="E1389" s="92"/>
      <c r="F1389" s="105"/>
      <c r="I1389" s="105"/>
      <c r="J1389" s="105"/>
      <c r="K1389" s="92"/>
      <c r="M1389" s="92"/>
    </row>
    <row r="1390">
      <c r="A1390" s="103"/>
      <c r="C1390" s="92"/>
      <c r="E1390" s="92"/>
      <c r="F1390" s="105"/>
      <c r="I1390" s="105"/>
      <c r="J1390" s="105"/>
      <c r="K1390" s="92"/>
      <c r="M1390" s="92"/>
    </row>
    <row r="1391">
      <c r="A1391" s="103"/>
      <c r="C1391" s="92"/>
      <c r="E1391" s="92"/>
      <c r="F1391" s="105"/>
      <c r="I1391" s="105"/>
      <c r="J1391" s="105"/>
      <c r="K1391" s="92"/>
      <c r="M1391" s="92"/>
    </row>
    <row r="1392">
      <c r="A1392" s="103"/>
      <c r="C1392" s="92"/>
      <c r="E1392" s="92"/>
      <c r="F1392" s="105"/>
      <c r="I1392" s="105"/>
      <c r="J1392" s="105"/>
      <c r="K1392" s="92"/>
      <c r="M1392" s="92"/>
    </row>
    <row r="1393">
      <c r="A1393" s="103"/>
      <c r="C1393" s="92"/>
      <c r="E1393" s="92"/>
      <c r="F1393" s="105"/>
      <c r="I1393" s="105"/>
      <c r="J1393" s="105"/>
      <c r="K1393" s="92"/>
      <c r="M1393" s="92"/>
    </row>
    <row r="1394">
      <c r="A1394" s="103"/>
      <c r="C1394" s="92"/>
      <c r="E1394" s="92"/>
      <c r="F1394" s="105"/>
      <c r="I1394" s="105"/>
      <c r="J1394" s="105"/>
      <c r="K1394" s="92"/>
      <c r="M1394" s="92"/>
    </row>
    <row r="1395">
      <c r="A1395" s="103"/>
      <c r="C1395" s="92"/>
      <c r="E1395" s="92"/>
      <c r="F1395" s="105"/>
      <c r="I1395" s="105"/>
      <c r="J1395" s="105"/>
      <c r="K1395" s="92"/>
      <c r="M1395" s="92"/>
    </row>
    <row r="1396">
      <c r="A1396" s="103"/>
      <c r="C1396" s="92"/>
      <c r="E1396" s="92"/>
      <c r="F1396" s="105"/>
      <c r="I1396" s="105"/>
      <c r="J1396" s="105"/>
      <c r="K1396" s="92"/>
      <c r="M1396" s="92"/>
    </row>
    <row r="1397">
      <c r="A1397" s="103"/>
      <c r="C1397" s="92"/>
      <c r="E1397" s="92"/>
      <c r="F1397" s="105"/>
      <c r="I1397" s="105"/>
      <c r="J1397" s="105"/>
      <c r="K1397" s="92"/>
      <c r="M1397" s="92"/>
    </row>
    <row r="1398">
      <c r="A1398" s="103"/>
      <c r="C1398" s="92"/>
      <c r="E1398" s="92"/>
      <c r="F1398" s="105"/>
      <c r="I1398" s="105"/>
      <c r="J1398" s="105"/>
      <c r="K1398" s="92"/>
      <c r="M1398" s="92"/>
    </row>
    <row r="1399">
      <c r="A1399" s="103"/>
      <c r="C1399" s="92"/>
      <c r="E1399" s="92"/>
      <c r="F1399" s="105"/>
      <c r="I1399" s="105"/>
      <c r="J1399" s="105"/>
      <c r="K1399" s="92"/>
      <c r="M1399" s="92"/>
    </row>
    <row r="1400">
      <c r="A1400" s="103"/>
      <c r="C1400" s="92"/>
      <c r="E1400" s="92"/>
      <c r="F1400" s="105"/>
      <c r="I1400" s="105"/>
      <c r="J1400" s="105"/>
      <c r="K1400" s="92"/>
      <c r="M1400" s="92"/>
    </row>
    <row r="1401">
      <c r="A1401" s="103"/>
      <c r="C1401" s="92"/>
      <c r="E1401" s="92"/>
      <c r="F1401" s="105"/>
      <c r="I1401" s="105"/>
      <c r="J1401" s="105"/>
      <c r="K1401" s="92"/>
      <c r="M1401" s="92"/>
    </row>
    <row r="1402">
      <c r="A1402" s="103"/>
      <c r="C1402" s="92"/>
      <c r="E1402" s="92"/>
      <c r="F1402" s="105"/>
      <c r="I1402" s="105"/>
      <c r="J1402" s="105"/>
      <c r="K1402" s="92"/>
      <c r="M1402" s="92"/>
    </row>
    <row r="1403">
      <c r="A1403" s="103"/>
      <c r="C1403" s="92"/>
      <c r="E1403" s="92"/>
      <c r="F1403" s="105"/>
      <c r="I1403" s="105"/>
      <c r="J1403" s="105"/>
      <c r="K1403" s="92"/>
      <c r="M1403" s="92"/>
    </row>
    <row r="1404">
      <c r="A1404" s="103"/>
      <c r="C1404" s="92"/>
      <c r="E1404" s="92"/>
      <c r="F1404" s="105"/>
      <c r="I1404" s="105"/>
      <c r="J1404" s="105"/>
      <c r="K1404" s="92"/>
      <c r="M1404" s="92"/>
    </row>
    <row r="1405">
      <c r="A1405" s="103"/>
      <c r="C1405" s="92"/>
      <c r="E1405" s="92"/>
      <c r="F1405" s="105"/>
      <c r="I1405" s="105"/>
      <c r="J1405" s="105"/>
      <c r="K1405" s="92"/>
      <c r="M1405" s="92"/>
    </row>
    <row r="1406">
      <c r="A1406" s="103"/>
      <c r="C1406" s="92"/>
      <c r="E1406" s="92"/>
      <c r="F1406" s="105"/>
      <c r="I1406" s="105"/>
      <c r="J1406" s="105"/>
      <c r="K1406" s="92"/>
      <c r="M1406" s="92"/>
    </row>
    <row r="1407">
      <c r="A1407" s="103"/>
      <c r="C1407" s="92"/>
      <c r="E1407" s="92"/>
      <c r="F1407" s="105"/>
      <c r="I1407" s="105"/>
      <c r="J1407" s="105"/>
      <c r="K1407" s="92"/>
      <c r="M1407" s="92"/>
    </row>
    <row r="1408">
      <c r="A1408" s="103"/>
      <c r="C1408" s="92"/>
      <c r="E1408" s="92"/>
      <c r="F1408" s="105"/>
      <c r="I1408" s="105"/>
      <c r="J1408" s="105"/>
      <c r="K1408" s="92"/>
      <c r="M1408" s="92"/>
    </row>
    <row r="1409">
      <c r="A1409" s="103"/>
      <c r="C1409" s="92"/>
      <c r="E1409" s="92"/>
      <c r="F1409" s="105"/>
      <c r="I1409" s="105"/>
      <c r="J1409" s="105"/>
      <c r="K1409" s="92"/>
      <c r="M1409" s="92"/>
    </row>
    <row r="1410">
      <c r="A1410" s="103"/>
      <c r="C1410" s="92"/>
      <c r="E1410" s="92"/>
      <c r="F1410" s="105"/>
      <c r="I1410" s="105"/>
      <c r="J1410" s="105"/>
      <c r="K1410" s="92"/>
      <c r="M1410" s="92"/>
    </row>
    <row r="1411">
      <c r="A1411" s="103"/>
      <c r="C1411" s="92"/>
      <c r="E1411" s="92"/>
      <c r="F1411" s="105"/>
      <c r="I1411" s="105"/>
      <c r="J1411" s="105"/>
      <c r="K1411" s="92"/>
      <c r="M1411" s="92"/>
    </row>
    <row r="1412">
      <c r="A1412" s="103"/>
      <c r="C1412" s="92"/>
      <c r="E1412" s="92"/>
      <c r="F1412" s="105"/>
      <c r="I1412" s="105"/>
      <c r="J1412" s="105"/>
      <c r="K1412" s="92"/>
      <c r="M1412" s="92"/>
    </row>
    <row r="1413">
      <c r="A1413" s="103"/>
      <c r="C1413" s="92"/>
      <c r="E1413" s="92"/>
      <c r="F1413" s="105"/>
      <c r="I1413" s="105"/>
      <c r="J1413" s="105"/>
      <c r="K1413" s="92"/>
      <c r="M1413" s="92"/>
    </row>
    <row r="1414">
      <c r="A1414" s="103"/>
      <c r="C1414" s="92"/>
      <c r="E1414" s="92"/>
      <c r="F1414" s="105"/>
      <c r="I1414" s="105"/>
      <c r="J1414" s="105"/>
      <c r="K1414" s="92"/>
      <c r="M1414" s="92"/>
    </row>
    <row r="1415">
      <c r="A1415" s="103"/>
      <c r="C1415" s="92"/>
      <c r="E1415" s="92"/>
      <c r="F1415" s="105"/>
      <c r="I1415" s="105"/>
      <c r="J1415" s="105"/>
      <c r="K1415" s="92"/>
      <c r="M1415" s="92"/>
    </row>
    <row r="1416">
      <c r="A1416" s="103"/>
      <c r="C1416" s="92"/>
      <c r="E1416" s="92"/>
      <c r="F1416" s="105"/>
      <c r="I1416" s="105"/>
      <c r="J1416" s="105"/>
      <c r="K1416" s="92"/>
      <c r="M1416" s="92"/>
    </row>
    <row r="1417">
      <c r="A1417" s="103"/>
      <c r="C1417" s="92"/>
      <c r="E1417" s="92"/>
      <c r="F1417" s="105"/>
      <c r="I1417" s="105"/>
      <c r="J1417" s="105"/>
      <c r="K1417" s="92"/>
      <c r="M1417" s="92"/>
    </row>
    <row r="1418">
      <c r="A1418" s="103"/>
      <c r="C1418" s="92"/>
      <c r="E1418" s="92"/>
      <c r="F1418" s="105"/>
      <c r="I1418" s="105"/>
      <c r="J1418" s="105"/>
      <c r="K1418" s="92"/>
      <c r="M1418" s="92"/>
    </row>
    <row r="1419">
      <c r="A1419" s="103"/>
      <c r="C1419" s="92"/>
      <c r="E1419" s="92"/>
      <c r="F1419" s="105"/>
      <c r="I1419" s="105"/>
      <c r="J1419" s="105"/>
      <c r="K1419" s="92"/>
      <c r="M1419" s="92"/>
    </row>
    <row r="1420">
      <c r="A1420" s="103"/>
      <c r="C1420" s="92"/>
      <c r="E1420" s="92"/>
      <c r="F1420" s="105"/>
      <c r="I1420" s="105"/>
      <c r="J1420" s="105"/>
      <c r="K1420" s="92"/>
      <c r="M1420" s="92"/>
    </row>
    <row r="1421">
      <c r="A1421" s="103"/>
      <c r="C1421" s="92"/>
      <c r="E1421" s="92"/>
      <c r="F1421" s="105"/>
      <c r="I1421" s="105"/>
      <c r="J1421" s="105"/>
      <c r="K1421" s="92"/>
      <c r="M1421" s="92"/>
    </row>
    <row r="1422">
      <c r="A1422" s="103"/>
      <c r="C1422" s="92"/>
      <c r="E1422" s="92"/>
      <c r="F1422" s="105"/>
      <c r="I1422" s="105"/>
      <c r="J1422" s="105"/>
      <c r="K1422" s="92"/>
      <c r="M1422" s="92"/>
    </row>
    <row r="1423">
      <c r="A1423" s="103"/>
      <c r="C1423" s="92"/>
      <c r="E1423" s="92"/>
      <c r="F1423" s="105"/>
      <c r="I1423" s="105"/>
      <c r="J1423" s="105"/>
      <c r="K1423" s="92"/>
      <c r="M1423" s="92"/>
    </row>
    <row r="1424">
      <c r="A1424" s="103"/>
      <c r="C1424" s="92"/>
      <c r="E1424" s="92"/>
      <c r="F1424" s="105"/>
      <c r="I1424" s="105"/>
      <c r="J1424" s="105"/>
      <c r="K1424" s="92"/>
      <c r="M1424" s="92"/>
    </row>
    <row r="1425">
      <c r="A1425" s="103"/>
      <c r="C1425" s="92"/>
      <c r="E1425" s="92"/>
      <c r="F1425" s="105"/>
      <c r="I1425" s="105"/>
      <c r="J1425" s="105"/>
      <c r="K1425" s="92"/>
      <c r="M1425" s="92"/>
    </row>
    <row r="1426">
      <c r="A1426" s="103"/>
      <c r="C1426" s="92"/>
      <c r="E1426" s="92"/>
      <c r="F1426" s="105"/>
      <c r="I1426" s="105"/>
      <c r="J1426" s="105"/>
      <c r="K1426" s="92"/>
      <c r="M1426" s="92"/>
    </row>
    <row r="1427">
      <c r="A1427" s="103"/>
      <c r="C1427" s="92"/>
      <c r="E1427" s="92"/>
      <c r="F1427" s="105"/>
      <c r="I1427" s="105"/>
      <c r="J1427" s="105"/>
      <c r="K1427" s="92"/>
      <c r="M1427" s="92"/>
    </row>
    <row r="1428">
      <c r="A1428" s="103"/>
      <c r="C1428" s="92"/>
      <c r="E1428" s="92"/>
      <c r="F1428" s="105"/>
      <c r="I1428" s="105"/>
      <c r="J1428" s="105"/>
      <c r="K1428" s="92"/>
      <c r="M1428" s="92"/>
    </row>
    <row r="1429">
      <c r="A1429" s="103"/>
      <c r="C1429" s="92"/>
      <c r="E1429" s="92"/>
      <c r="F1429" s="105"/>
      <c r="I1429" s="105"/>
      <c r="J1429" s="105"/>
      <c r="K1429" s="92"/>
      <c r="M1429" s="92"/>
    </row>
    <row r="1430">
      <c r="A1430" s="103"/>
      <c r="C1430" s="92"/>
      <c r="E1430" s="92"/>
      <c r="F1430" s="105"/>
      <c r="I1430" s="105"/>
      <c r="J1430" s="105"/>
      <c r="K1430" s="92"/>
      <c r="M1430" s="92"/>
    </row>
    <row r="1431">
      <c r="A1431" s="103"/>
      <c r="C1431" s="92"/>
      <c r="E1431" s="92"/>
      <c r="F1431" s="105"/>
      <c r="I1431" s="105"/>
      <c r="J1431" s="105"/>
      <c r="K1431" s="92"/>
      <c r="M1431" s="92"/>
    </row>
    <row r="1432">
      <c r="A1432" s="103"/>
      <c r="C1432" s="92"/>
      <c r="E1432" s="92"/>
      <c r="F1432" s="105"/>
      <c r="I1432" s="105"/>
      <c r="J1432" s="105"/>
      <c r="K1432" s="92"/>
      <c r="M1432" s="92"/>
    </row>
    <row r="1433">
      <c r="A1433" s="103"/>
      <c r="C1433" s="92"/>
      <c r="E1433" s="92"/>
      <c r="F1433" s="105"/>
      <c r="I1433" s="105"/>
      <c r="J1433" s="105"/>
      <c r="K1433" s="92"/>
      <c r="M1433" s="92"/>
    </row>
    <row r="1434">
      <c r="A1434" s="103"/>
      <c r="C1434" s="92"/>
      <c r="E1434" s="92"/>
      <c r="F1434" s="105"/>
      <c r="I1434" s="105"/>
      <c r="J1434" s="105"/>
      <c r="K1434" s="92"/>
      <c r="M1434" s="92"/>
    </row>
    <row r="1435">
      <c r="A1435" s="103"/>
      <c r="C1435" s="92"/>
      <c r="E1435" s="92"/>
      <c r="F1435" s="105"/>
      <c r="I1435" s="105"/>
      <c r="J1435" s="105"/>
      <c r="K1435" s="92"/>
      <c r="M1435" s="92"/>
    </row>
    <row r="1436">
      <c r="A1436" s="103"/>
      <c r="C1436" s="92"/>
      <c r="E1436" s="92"/>
      <c r="F1436" s="105"/>
      <c r="I1436" s="105"/>
      <c r="J1436" s="105"/>
      <c r="K1436" s="92"/>
      <c r="M1436" s="92"/>
    </row>
    <row r="1437">
      <c r="A1437" s="103"/>
      <c r="C1437" s="92"/>
      <c r="E1437" s="92"/>
      <c r="F1437" s="105"/>
      <c r="I1437" s="105"/>
      <c r="J1437" s="105"/>
      <c r="K1437" s="92"/>
      <c r="M1437" s="92"/>
    </row>
    <row r="1438">
      <c r="A1438" s="103"/>
      <c r="C1438" s="92"/>
      <c r="E1438" s="92"/>
      <c r="F1438" s="105"/>
      <c r="I1438" s="105"/>
      <c r="J1438" s="105"/>
      <c r="K1438" s="92"/>
      <c r="M1438" s="92"/>
    </row>
    <row r="1439">
      <c r="A1439" s="103"/>
      <c r="C1439" s="92"/>
      <c r="E1439" s="92"/>
      <c r="F1439" s="105"/>
      <c r="I1439" s="105"/>
      <c r="J1439" s="105"/>
      <c r="K1439" s="92"/>
      <c r="M1439" s="92"/>
    </row>
    <row r="1440">
      <c r="A1440" s="103"/>
      <c r="C1440" s="92"/>
      <c r="E1440" s="92"/>
      <c r="F1440" s="105"/>
      <c r="I1440" s="105"/>
      <c r="J1440" s="105"/>
      <c r="K1440" s="92"/>
      <c r="M1440" s="92"/>
    </row>
    <row r="1441">
      <c r="A1441" s="103"/>
      <c r="C1441" s="92"/>
      <c r="E1441" s="92"/>
      <c r="F1441" s="105"/>
      <c r="I1441" s="105"/>
      <c r="J1441" s="105"/>
      <c r="K1441" s="92"/>
      <c r="M1441" s="92"/>
    </row>
    <row r="1442">
      <c r="A1442" s="103"/>
      <c r="C1442" s="92"/>
      <c r="E1442" s="92"/>
      <c r="F1442" s="105"/>
      <c r="I1442" s="105"/>
      <c r="J1442" s="105"/>
      <c r="K1442" s="92"/>
      <c r="M1442" s="92"/>
    </row>
    <row r="1443">
      <c r="A1443" s="103"/>
      <c r="C1443" s="92"/>
      <c r="E1443" s="92"/>
      <c r="F1443" s="105"/>
      <c r="I1443" s="105"/>
      <c r="J1443" s="105"/>
      <c r="K1443" s="92"/>
      <c r="M1443" s="92"/>
    </row>
    <row r="1444">
      <c r="A1444" s="103"/>
      <c r="C1444" s="92"/>
      <c r="E1444" s="92"/>
      <c r="F1444" s="105"/>
      <c r="I1444" s="105"/>
      <c r="J1444" s="105"/>
      <c r="K1444" s="92"/>
      <c r="M1444" s="92"/>
    </row>
    <row r="1445">
      <c r="A1445" s="103"/>
      <c r="C1445" s="92"/>
      <c r="E1445" s="92"/>
      <c r="F1445" s="105"/>
      <c r="I1445" s="105"/>
      <c r="J1445" s="105"/>
      <c r="K1445" s="92"/>
      <c r="M1445" s="92"/>
    </row>
    <row r="1446">
      <c r="A1446" s="103"/>
      <c r="C1446" s="92"/>
      <c r="E1446" s="92"/>
      <c r="F1446" s="105"/>
      <c r="I1446" s="105"/>
      <c r="J1446" s="105"/>
      <c r="K1446" s="92"/>
      <c r="M1446" s="92"/>
    </row>
    <row r="1447">
      <c r="A1447" s="103"/>
      <c r="C1447" s="92"/>
      <c r="E1447" s="92"/>
      <c r="F1447" s="105"/>
      <c r="I1447" s="105"/>
      <c r="J1447" s="105"/>
      <c r="K1447" s="92"/>
      <c r="M1447" s="92"/>
    </row>
    <row r="1448">
      <c r="A1448" s="103"/>
      <c r="C1448" s="92"/>
      <c r="E1448" s="92"/>
      <c r="F1448" s="105"/>
      <c r="I1448" s="105"/>
      <c r="J1448" s="105"/>
      <c r="K1448" s="92"/>
      <c r="M1448" s="92"/>
    </row>
    <row r="1449">
      <c r="A1449" s="103"/>
      <c r="C1449" s="92"/>
      <c r="E1449" s="92"/>
      <c r="F1449" s="105"/>
      <c r="I1449" s="105"/>
      <c r="J1449" s="105"/>
      <c r="K1449" s="92"/>
      <c r="M1449" s="92"/>
    </row>
    <row r="1450">
      <c r="A1450" s="103"/>
      <c r="C1450" s="92"/>
      <c r="E1450" s="92"/>
      <c r="F1450" s="105"/>
      <c r="I1450" s="105"/>
      <c r="J1450" s="105"/>
      <c r="K1450" s="92"/>
      <c r="M1450" s="92"/>
    </row>
    <row r="1451">
      <c r="A1451" s="103"/>
      <c r="C1451" s="92"/>
      <c r="E1451" s="92"/>
      <c r="F1451" s="105"/>
      <c r="I1451" s="105"/>
      <c r="J1451" s="105"/>
      <c r="K1451" s="92"/>
      <c r="M1451" s="92"/>
    </row>
    <row r="1452">
      <c r="A1452" s="103"/>
      <c r="C1452" s="92"/>
      <c r="E1452" s="92"/>
      <c r="F1452" s="105"/>
      <c r="I1452" s="105"/>
      <c r="J1452" s="105"/>
      <c r="K1452" s="92"/>
      <c r="M1452" s="92"/>
    </row>
    <row r="1453">
      <c r="A1453" s="103"/>
      <c r="C1453" s="92"/>
      <c r="E1453" s="92"/>
      <c r="F1453" s="105"/>
      <c r="I1453" s="105"/>
      <c r="J1453" s="105"/>
      <c r="K1453" s="92"/>
      <c r="M1453" s="92"/>
    </row>
    <row r="1454">
      <c r="A1454" s="103"/>
      <c r="C1454" s="92"/>
      <c r="E1454" s="92"/>
      <c r="F1454" s="105"/>
      <c r="I1454" s="105"/>
      <c r="J1454" s="105"/>
      <c r="K1454" s="92"/>
      <c r="M1454" s="92"/>
    </row>
    <row r="1455">
      <c r="A1455" s="103"/>
      <c r="C1455" s="92"/>
      <c r="E1455" s="92"/>
      <c r="F1455" s="105"/>
      <c r="I1455" s="105"/>
      <c r="J1455" s="105"/>
      <c r="K1455" s="92"/>
      <c r="M1455" s="92"/>
    </row>
    <row r="1456">
      <c r="A1456" s="103"/>
      <c r="C1456" s="92"/>
      <c r="E1456" s="92"/>
      <c r="F1456" s="105"/>
      <c r="I1456" s="105"/>
      <c r="J1456" s="105"/>
      <c r="K1456" s="92"/>
      <c r="M1456" s="92"/>
    </row>
    <row r="1457">
      <c r="A1457" s="103"/>
      <c r="C1457" s="92"/>
      <c r="E1457" s="92"/>
      <c r="F1457" s="105"/>
      <c r="I1457" s="105"/>
      <c r="J1457" s="105"/>
      <c r="K1457" s="92"/>
      <c r="M1457" s="92"/>
    </row>
    <row r="1458">
      <c r="A1458" s="103"/>
      <c r="C1458" s="92"/>
      <c r="E1458" s="92"/>
      <c r="F1458" s="105"/>
      <c r="I1458" s="105"/>
      <c r="J1458" s="105"/>
      <c r="K1458" s="92"/>
      <c r="M1458" s="92"/>
    </row>
    <row r="1459">
      <c r="A1459" s="103"/>
      <c r="C1459" s="92"/>
      <c r="E1459" s="92"/>
      <c r="F1459" s="105"/>
      <c r="I1459" s="105"/>
      <c r="J1459" s="105"/>
      <c r="K1459" s="92"/>
      <c r="M1459" s="92"/>
    </row>
    <row r="1460">
      <c r="A1460" s="103"/>
      <c r="C1460" s="92"/>
      <c r="E1460" s="92"/>
      <c r="F1460" s="105"/>
      <c r="I1460" s="105"/>
      <c r="J1460" s="105"/>
      <c r="K1460" s="92"/>
      <c r="M1460" s="92"/>
    </row>
    <row r="1461">
      <c r="A1461" s="103"/>
      <c r="C1461" s="92"/>
      <c r="E1461" s="92"/>
      <c r="F1461" s="105"/>
      <c r="I1461" s="105"/>
      <c r="J1461" s="105"/>
      <c r="K1461" s="92"/>
      <c r="M1461" s="92"/>
    </row>
    <row r="1462">
      <c r="A1462" s="103"/>
      <c r="C1462" s="92"/>
      <c r="E1462" s="92"/>
      <c r="F1462" s="105"/>
      <c r="I1462" s="105"/>
      <c r="J1462" s="105"/>
      <c r="K1462" s="92"/>
      <c r="M1462" s="92"/>
    </row>
    <row r="1463">
      <c r="A1463" s="103"/>
      <c r="C1463" s="92"/>
      <c r="E1463" s="92"/>
      <c r="F1463" s="105"/>
      <c r="I1463" s="105"/>
      <c r="J1463" s="105"/>
      <c r="K1463" s="92"/>
      <c r="M1463" s="92"/>
    </row>
    <row r="1464">
      <c r="A1464" s="103"/>
      <c r="C1464" s="92"/>
      <c r="E1464" s="92"/>
      <c r="F1464" s="105"/>
      <c r="I1464" s="105"/>
      <c r="J1464" s="105"/>
      <c r="K1464" s="92"/>
      <c r="M1464" s="92"/>
    </row>
    <row r="1465">
      <c r="A1465" s="103"/>
      <c r="C1465" s="92"/>
      <c r="E1465" s="92"/>
      <c r="F1465" s="105"/>
      <c r="I1465" s="105"/>
      <c r="J1465" s="105"/>
      <c r="K1465" s="92"/>
      <c r="M1465" s="92"/>
    </row>
    <row r="1466">
      <c r="A1466" s="103"/>
      <c r="C1466" s="92"/>
      <c r="E1466" s="92"/>
      <c r="F1466" s="105"/>
      <c r="I1466" s="105"/>
      <c r="J1466" s="105"/>
      <c r="K1466" s="92"/>
      <c r="M1466" s="92"/>
    </row>
    <row r="1467">
      <c r="A1467" s="103"/>
      <c r="C1467" s="92"/>
      <c r="E1467" s="92"/>
      <c r="F1467" s="105"/>
      <c r="I1467" s="105"/>
      <c r="J1467" s="105"/>
      <c r="K1467" s="92"/>
      <c r="M1467" s="92"/>
    </row>
    <row r="1468">
      <c r="A1468" s="103"/>
      <c r="C1468" s="92"/>
      <c r="E1468" s="92"/>
      <c r="F1468" s="105"/>
      <c r="I1468" s="105"/>
      <c r="J1468" s="105"/>
      <c r="K1468" s="92"/>
      <c r="M1468" s="92"/>
    </row>
    <row r="1469">
      <c r="A1469" s="103"/>
      <c r="C1469" s="92"/>
      <c r="E1469" s="92"/>
      <c r="F1469" s="105"/>
      <c r="I1469" s="105"/>
      <c r="J1469" s="105"/>
      <c r="K1469" s="92"/>
      <c r="M1469" s="92"/>
    </row>
    <row r="1470">
      <c r="A1470" s="103"/>
      <c r="C1470" s="92"/>
      <c r="E1470" s="92"/>
      <c r="F1470" s="105"/>
      <c r="I1470" s="105"/>
      <c r="J1470" s="105"/>
      <c r="K1470" s="92"/>
      <c r="M1470" s="92"/>
    </row>
    <row r="1471">
      <c r="A1471" s="103"/>
      <c r="C1471" s="92"/>
      <c r="E1471" s="92"/>
      <c r="F1471" s="105"/>
      <c r="I1471" s="105"/>
      <c r="J1471" s="105"/>
      <c r="K1471" s="92"/>
      <c r="M1471" s="92"/>
    </row>
    <row r="1472">
      <c r="A1472" s="103"/>
      <c r="C1472" s="92"/>
      <c r="E1472" s="92"/>
      <c r="F1472" s="105"/>
      <c r="I1472" s="105"/>
      <c r="J1472" s="105"/>
      <c r="K1472" s="92"/>
      <c r="M1472" s="92"/>
    </row>
    <row r="1473">
      <c r="A1473" s="103"/>
      <c r="C1473" s="92"/>
      <c r="E1473" s="92"/>
      <c r="F1473" s="105"/>
      <c r="I1473" s="105"/>
      <c r="J1473" s="105"/>
      <c r="K1473" s="92"/>
      <c r="M1473" s="92"/>
    </row>
    <row r="1474">
      <c r="A1474" s="103"/>
      <c r="C1474" s="92"/>
      <c r="E1474" s="92"/>
      <c r="F1474" s="105"/>
      <c r="I1474" s="105"/>
      <c r="J1474" s="105"/>
      <c r="K1474" s="92"/>
      <c r="M1474" s="92"/>
    </row>
    <row r="1475">
      <c r="A1475" s="103"/>
      <c r="C1475" s="92"/>
      <c r="E1475" s="92"/>
      <c r="F1475" s="105"/>
      <c r="I1475" s="105"/>
      <c r="J1475" s="105"/>
      <c r="K1475" s="92"/>
      <c r="M1475" s="92"/>
    </row>
    <row r="1476">
      <c r="A1476" s="103"/>
      <c r="C1476" s="92"/>
      <c r="E1476" s="92"/>
      <c r="F1476" s="105"/>
      <c r="I1476" s="105"/>
      <c r="J1476" s="105"/>
      <c r="K1476" s="92"/>
      <c r="M1476" s="92"/>
    </row>
    <row r="1477">
      <c r="A1477" s="103"/>
      <c r="C1477" s="92"/>
      <c r="E1477" s="92"/>
      <c r="F1477" s="105"/>
      <c r="I1477" s="105"/>
      <c r="J1477" s="105"/>
      <c r="K1477" s="92"/>
      <c r="M1477" s="92"/>
    </row>
    <row r="1478">
      <c r="A1478" s="103"/>
      <c r="C1478" s="92"/>
      <c r="E1478" s="92"/>
      <c r="F1478" s="105"/>
      <c r="I1478" s="105"/>
      <c r="J1478" s="105"/>
      <c r="K1478" s="92"/>
      <c r="M1478" s="92"/>
    </row>
    <row r="1479">
      <c r="A1479" s="103"/>
      <c r="C1479" s="92"/>
      <c r="E1479" s="92"/>
      <c r="F1479" s="105"/>
      <c r="I1479" s="105"/>
      <c r="J1479" s="105"/>
      <c r="K1479" s="92"/>
      <c r="M1479" s="92"/>
    </row>
    <row r="1480">
      <c r="A1480" s="103"/>
      <c r="C1480" s="92"/>
      <c r="E1480" s="92"/>
      <c r="F1480" s="105"/>
      <c r="I1480" s="105"/>
      <c r="J1480" s="105"/>
      <c r="K1480" s="92"/>
      <c r="M1480" s="92"/>
    </row>
    <row r="1481">
      <c r="A1481" s="103"/>
      <c r="C1481" s="92"/>
      <c r="E1481" s="92"/>
      <c r="F1481" s="105"/>
      <c r="I1481" s="105"/>
      <c r="J1481" s="105"/>
      <c r="K1481" s="92"/>
      <c r="M1481" s="92"/>
    </row>
    <row r="1482">
      <c r="A1482" s="103"/>
      <c r="C1482" s="92"/>
      <c r="E1482" s="92"/>
      <c r="F1482" s="105"/>
      <c r="I1482" s="105"/>
      <c r="J1482" s="105"/>
      <c r="K1482" s="92"/>
      <c r="M1482" s="92"/>
    </row>
    <row r="1483">
      <c r="A1483" s="103"/>
      <c r="C1483" s="92"/>
      <c r="E1483" s="92"/>
      <c r="F1483" s="105"/>
      <c r="I1483" s="105"/>
      <c r="J1483" s="105"/>
      <c r="K1483" s="92"/>
      <c r="M1483" s="92"/>
    </row>
    <row r="1484">
      <c r="A1484" s="103"/>
      <c r="C1484" s="92"/>
      <c r="E1484" s="92"/>
      <c r="F1484" s="105"/>
      <c r="I1484" s="105"/>
      <c r="J1484" s="105"/>
      <c r="K1484" s="92"/>
      <c r="M1484" s="92"/>
    </row>
    <row r="1485">
      <c r="A1485" s="103"/>
      <c r="C1485" s="92"/>
      <c r="E1485" s="92"/>
      <c r="F1485" s="105"/>
      <c r="I1485" s="105"/>
      <c r="J1485" s="105"/>
      <c r="K1485" s="92"/>
      <c r="M1485" s="92"/>
    </row>
    <row r="1486">
      <c r="A1486" s="103"/>
      <c r="C1486" s="92"/>
      <c r="E1486" s="92"/>
      <c r="F1486" s="105"/>
      <c r="I1486" s="105"/>
      <c r="J1486" s="105"/>
      <c r="K1486" s="92"/>
      <c r="M1486" s="92"/>
    </row>
    <row r="1487">
      <c r="A1487" s="103"/>
      <c r="C1487" s="92"/>
      <c r="E1487" s="92"/>
      <c r="F1487" s="105"/>
      <c r="I1487" s="105"/>
      <c r="J1487" s="105"/>
      <c r="K1487" s="92"/>
      <c r="M1487" s="92"/>
    </row>
    <row r="1488">
      <c r="A1488" s="103"/>
      <c r="C1488" s="92"/>
      <c r="E1488" s="92"/>
      <c r="F1488" s="105"/>
      <c r="I1488" s="105"/>
      <c r="J1488" s="105"/>
      <c r="K1488" s="92"/>
      <c r="M1488" s="92"/>
    </row>
    <row r="1489">
      <c r="A1489" s="103"/>
      <c r="C1489" s="92"/>
      <c r="E1489" s="92"/>
      <c r="F1489" s="105"/>
      <c r="I1489" s="105"/>
      <c r="J1489" s="105"/>
      <c r="K1489" s="92"/>
      <c r="M1489" s="92"/>
    </row>
    <row r="1490">
      <c r="A1490" s="103"/>
      <c r="C1490" s="92"/>
      <c r="E1490" s="92"/>
      <c r="F1490" s="105"/>
      <c r="I1490" s="105"/>
      <c r="J1490" s="105"/>
      <c r="K1490" s="92"/>
      <c r="M1490" s="92"/>
    </row>
    <row r="1491">
      <c r="A1491" s="103"/>
      <c r="C1491" s="92"/>
      <c r="E1491" s="92"/>
      <c r="F1491" s="105"/>
      <c r="I1491" s="105"/>
      <c r="J1491" s="105"/>
      <c r="K1491" s="92"/>
      <c r="M1491" s="92"/>
    </row>
    <row r="1492">
      <c r="A1492" s="103"/>
      <c r="C1492" s="92"/>
      <c r="E1492" s="92"/>
      <c r="F1492" s="105"/>
      <c r="I1492" s="105"/>
      <c r="J1492" s="105"/>
      <c r="K1492" s="92"/>
      <c r="M1492" s="92"/>
    </row>
    <row r="1493">
      <c r="A1493" s="103"/>
      <c r="C1493" s="92"/>
      <c r="E1493" s="92"/>
      <c r="F1493" s="105"/>
      <c r="I1493" s="105"/>
      <c r="J1493" s="105"/>
      <c r="K1493" s="92"/>
      <c r="M1493" s="92"/>
    </row>
    <row r="1494">
      <c r="A1494" s="103"/>
      <c r="C1494" s="92"/>
      <c r="E1494" s="92"/>
      <c r="F1494" s="105"/>
      <c r="I1494" s="105"/>
      <c r="J1494" s="105"/>
      <c r="K1494" s="92"/>
      <c r="M1494" s="92"/>
    </row>
    <row r="1495">
      <c r="A1495" s="103"/>
      <c r="C1495" s="92"/>
      <c r="E1495" s="92"/>
      <c r="F1495" s="105"/>
      <c r="I1495" s="105"/>
      <c r="J1495" s="105"/>
      <c r="K1495" s="92"/>
      <c r="M1495" s="92"/>
    </row>
    <row r="1496">
      <c r="A1496" s="103"/>
      <c r="C1496" s="92"/>
      <c r="E1496" s="92"/>
      <c r="F1496" s="105"/>
      <c r="I1496" s="105"/>
      <c r="J1496" s="105"/>
      <c r="K1496" s="92"/>
      <c r="M1496" s="92"/>
    </row>
    <row r="1497">
      <c r="A1497" s="103"/>
      <c r="C1497" s="92"/>
      <c r="E1497" s="92"/>
      <c r="F1497" s="105"/>
      <c r="I1497" s="105"/>
      <c r="J1497" s="105"/>
      <c r="K1497" s="92"/>
      <c r="M1497" s="92"/>
    </row>
    <row r="1498">
      <c r="A1498" s="103"/>
      <c r="C1498" s="92"/>
      <c r="E1498" s="92"/>
      <c r="F1498" s="105"/>
      <c r="I1498" s="105"/>
      <c r="J1498" s="105"/>
      <c r="K1498" s="92"/>
      <c r="M1498" s="92"/>
    </row>
    <row r="1499">
      <c r="A1499" s="103"/>
      <c r="C1499" s="92"/>
      <c r="E1499" s="92"/>
      <c r="F1499" s="105"/>
      <c r="I1499" s="105"/>
      <c r="J1499" s="105"/>
      <c r="K1499" s="92"/>
      <c r="M1499" s="92"/>
    </row>
    <row r="1500">
      <c r="A1500" s="103"/>
      <c r="C1500" s="92"/>
      <c r="E1500" s="92"/>
      <c r="F1500" s="105"/>
      <c r="I1500" s="105"/>
      <c r="J1500" s="105"/>
      <c r="K1500" s="92"/>
      <c r="M1500" s="92"/>
    </row>
    <row r="1501">
      <c r="A1501" s="103"/>
      <c r="C1501" s="92"/>
      <c r="E1501" s="92"/>
      <c r="F1501" s="105"/>
      <c r="I1501" s="105"/>
      <c r="J1501" s="105"/>
      <c r="K1501" s="92"/>
      <c r="M1501" s="92"/>
    </row>
    <row r="1502">
      <c r="A1502" s="103"/>
      <c r="C1502" s="92"/>
      <c r="E1502" s="92"/>
      <c r="F1502" s="105"/>
      <c r="I1502" s="105"/>
      <c r="J1502" s="105"/>
      <c r="K1502" s="92"/>
      <c r="M1502" s="92"/>
    </row>
    <row r="1503">
      <c r="A1503" s="103"/>
      <c r="C1503" s="92"/>
      <c r="E1503" s="92"/>
      <c r="F1503" s="105"/>
      <c r="I1503" s="105"/>
      <c r="J1503" s="105"/>
      <c r="K1503" s="92"/>
      <c r="M1503" s="92"/>
    </row>
    <row r="1504">
      <c r="A1504" s="103"/>
      <c r="C1504" s="92"/>
      <c r="E1504" s="92"/>
      <c r="F1504" s="105"/>
      <c r="I1504" s="105"/>
      <c r="J1504" s="105"/>
      <c r="K1504" s="92"/>
      <c r="M1504" s="92"/>
    </row>
    <row r="1505">
      <c r="A1505" s="103"/>
      <c r="C1505" s="92"/>
      <c r="E1505" s="92"/>
      <c r="F1505" s="105"/>
      <c r="I1505" s="105"/>
      <c r="J1505" s="105"/>
      <c r="K1505" s="92"/>
      <c r="M1505" s="92"/>
    </row>
    <row r="1506">
      <c r="A1506" s="103"/>
      <c r="C1506" s="92"/>
      <c r="E1506" s="92"/>
      <c r="F1506" s="105"/>
      <c r="I1506" s="105"/>
      <c r="J1506" s="105"/>
      <c r="K1506" s="92"/>
      <c r="M1506" s="92"/>
    </row>
    <row r="1507">
      <c r="A1507" s="103"/>
      <c r="C1507" s="92"/>
      <c r="E1507" s="92"/>
      <c r="F1507" s="105"/>
      <c r="I1507" s="105"/>
      <c r="J1507" s="105"/>
      <c r="K1507" s="92"/>
      <c r="M1507" s="92"/>
    </row>
    <row r="1508">
      <c r="A1508" s="103"/>
      <c r="C1508" s="92"/>
      <c r="E1508" s="92"/>
      <c r="F1508" s="105"/>
      <c r="I1508" s="105"/>
      <c r="J1508" s="105"/>
      <c r="K1508" s="92"/>
      <c r="M1508" s="92"/>
    </row>
    <row r="1509">
      <c r="A1509" s="103"/>
      <c r="C1509" s="92"/>
      <c r="E1509" s="92"/>
      <c r="F1509" s="105"/>
      <c r="I1509" s="105"/>
      <c r="J1509" s="105"/>
      <c r="K1509" s="92"/>
      <c r="M1509" s="92"/>
    </row>
    <row r="1510">
      <c r="A1510" s="103"/>
      <c r="C1510" s="92"/>
      <c r="E1510" s="92"/>
      <c r="F1510" s="105"/>
      <c r="I1510" s="105"/>
      <c r="J1510" s="105"/>
      <c r="K1510" s="92"/>
      <c r="M1510" s="92"/>
    </row>
    <row r="1511">
      <c r="A1511" s="103"/>
      <c r="C1511" s="92"/>
      <c r="E1511" s="92"/>
      <c r="F1511" s="105"/>
      <c r="I1511" s="105"/>
      <c r="J1511" s="105"/>
      <c r="K1511" s="92"/>
      <c r="M1511" s="92"/>
    </row>
    <row r="1512">
      <c r="A1512" s="103"/>
      <c r="C1512" s="92"/>
      <c r="E1512" s="92"/>
      <c r="F1512" s="105"/>
      <c r="I1512" s="105"/>
      <c r="J1512" s="105"/>
      <c r="K1512" s="92"/>
      <c r="M1512" s="92"/>
    </row>
    <row r="1513">
      <c r="A1513" s="103"/>
      <c r="C1513" s="92"/>
      <c r="E1513" s="92"/>
      <c r="F1513" s="105"/>
      <c r="I1513" s="105"/>
      <c r="J1513" s="105"/>
      <c r="K1513" s="92"/>
      <c r="M1513" s="92"/>
    </row>
    <row r="1514">
      <c r="A1514" s="103"/>
      <c r="C1514" s="92"/>
      <c r="E1514" s="92"/>
      <c r="F1514" s="105"/>
      <c r="I1514" s="105"/>
      <c r="J1514" s="105"/>
      <c r="K1514" s="92"/>
      <c r="M1514" s="92"/>
    </row>
    <row r="1515">
      <c r="A1515" s="103"/>
      <c r="C1515" s="92"/>
      <c r="E1515" s="92"/>
      <c r="F1515" s="105"/>
      <c r="I1515" s="105"/>
      <c r="J1515" s="105"/>
      <c r="K1515" s="92"/>
      <c r="M1515" s="92"/>
    </row>
    <row r="1516">
      <c r="A1516" s="103"/>
      <c r="C1516" s="92"/>
      <c r="E1516" s="92"/>
      <c r="F1516" s="105"/>
      <c r="I1516" s="105"/>
      <c r="J1516" s="105"/>
      <c r="K1516" s="92"/>
      <c r="M1516" s="92"/>
    </row>
    <row r="1517">
      <c r="A1517" s="103"/>
      <c r="C1517" s="92"/>
      <c r="E1517" s="92"/>
      <c r="F1517" s="105"/>
      <c r="I1517" s="105"/>
      <c r="J1517" s="105"/>
      <c r="K1517" s="92"/>
      <c r="M1517" s="92"/>
    </row>
    <row r="1518">
      <c r="A1518" s="103"/>
      <c r="C1518" s="92"/>
      <c r="E1518" s="92"/>
      <c r="F1518" s="105"/>
      <c r="I1518" s="105"/>
      <c r="J1518" s="105"/>
      <c r="K1518" s="92"/>
      <c r="M1518" s="92"/>
    </row>
    <row r="1519">
      <c r="A1519" s="103"/>
      <c r="C1519" s="92"/>
      <c r="E1519" s="92"/>
      <c r="F1519" s="105"/>
      <c r="I1519" s="105"/>
      <c r="J1519" s="105"/>
      <c r="K1519" s="92"/>
      <c r="M1519" s="92"/>
    </row>
    <row r="1520">
      <c r="A1520" s="103"/>
      <c r="C1520" s="92"/>
      <c r="E1520" s="92"/>
      <c r="F1520" s="105"/>
      <c r="I1520" s="105"/>
      <c r="J1520" s="105"/>
      <c r="K1520" s="92"/>
      <c r="M1520" s="92"/>
    </row>
    <row r="1521">
      <c r="A1521" s="103"/>
      <c r="C1521" s="92"/>
      <c r="E1521" s="92"/>
      <c r="F1521" s="105"/>
      <c r="I1521" s="105"/>
      <c r="J1521" s="105"/>
      <c r="K1521" s="92"/>
      <c r="M1521" s="92"/>
    </row>
    <row r="1522">
      <c r="A1522" s="103"/>
      <c r="C1522" s="92"/>
      <c r="E1522" s="92"/>
      <c r="F1522" s="105"/>
      <c r="I1522" s="105"/>
      <c r="J1522" s="105"/>
      <c r="K1522" s="92"/>
      <c r="M1522" s="92"/>
    </row>
    <row r="1523">
      <c r="A1523" s="103"/>
      <c r="C1523" s="92"/>
      <c r="E1523" s="92"/>
      <c r="F1523" s="105"/>
      <c r="I1523" s="105"/>
      <c r="J1523" s="105"/>
      <c r="K1523" s="92"/>
      <c r="M1523" s="92"/>
    </row>
    <row r="1524">
      <c r="A1524" s="103"/>
      <c r="C1524" s="92"/>
      <c r="E1524" s="92"/>
      <c r="F1524" s="105"/>
      <c r="I1524" s="105"/>
      <c r="J1524" s="105"/>
      <c r="K1524" s="92"/>
      <c r="M1524" s="92"/>
    </row>
    <row r="1525">
      <c r="A1525" s="103"/>
      <c r="C1525" s="92"/>
      <c r="E1525" s="92"/>
      <c r="F1525" s="105"/>
      <c r="I1525" s="105"/>
      <c r="J1525" s="105"/>
      <c r="K1525" s="92"/>
      <c r="M1525" s="92"/>
    </row>
    <row r="1526">
      <c r="A1526" s="103"/>
      <c r="C1526" s="92"/>
      <c r="E1526" s="92"/>
      <c r="F1526" s="105"/>
      <c r="I1526" s="105"/>
      <c r="J1526" s="105"/>
      <c r="K1526" s="92"/>
      <c r="M1526" s="92"/>
    </row>
    <row r="1527">
      <c r="A1527" s="103"/>
      <c r="C1527" s="92"/>
      <c r="E1527" s="92"/>
      <c r="F1527" s="105"/>
      <c r="I1527" s="105"/>
      <c r="J1527" s="105"/>
      <c r="K1527" s="92"/>
      <c r="M1527" s="92"/>
    </row>
    <row r="1528">
      <c r="A1528" s="103"/>
      <c r="C1528" s="92"/>
      <c r="E1528" s="92"/>
      <c r="F1528" s="105"/>
      <c r="I1528" s="105"/>
      <c r="J1528" s="105"/>
      <c r="K1528" s="92"/>
      <c r="M1528" s="92"/>
    </row>
    <row r="1529">
      <c r="A1529" s="103"/>
      <c r="C1529" s="92"/>
      <c r="E1529" s="92"/>
      <c r="F1529" s="105"/>
      <c r="I1529" s="105"/>
      <c r="J1529" s="105"/>
      <c r="K1529" s="92"/>
      <c r="M1529" s="92"/>
    </row>
    <row r="1530">
      <c r="A1530" s="103"/>
      <c r="C1530" s="92"/>
      <c r="E1530" s="92"/>
      <c r="F1530" s="105"/>
      <c r="I1530" s="105"/>
      <c r="J1530" s="105"/>
      <c r="K1530" s="92"/>
      <c r="M1530" s="92"/>
    </row>
    <row r="1531">
      <c r="A1531" s="103"/>
      <c r="C1531" s="92"/>
      <c r="E1531" s="92"/>
      <c r="F1531" s="105"/>
      <c r="I1531" s="105"/>
      <c r="J1531" s="105"/>
      <c r="K1531" s="92"/>
      <c r="M1531" s="92"/>
    </row>
    <row r="1532">
      <c r="A1532" s="103"/>
      <c r="C1532" s="92"/>
      <c r="E1532" s="92"/>
      <c r="F1532" s="105"/>
      <c r="I1532" s="105"/>
      <c r="J1532" s="105"/>
      <c r="K1532" s="92"/>
      <c r="M1532" s="92"/>
    </row>
    <row r="1533">
      <c r="A1533" s="103"/>
      <c r="C1533" s="92"/>
      <c r="E1533" s="92"/>
      <c r="F1533" s="105"/>
      <c r="I1533" s="105"/>
      <c r="J1533" s="105"/>
      <c r="K1533" s="92"/>
      <c r="M1533" s="92"/>
    </row>
    <row r="1534">
      <c r="A1534" s="103"/>
      <c r="C1534" s="92"/>
      <c r="E1534" s="92"/>
      <c r="F1534" s="105"/>
      <c r="I1534" s="105"/>
      <c r="J1534" s="105"/>
      <c r="K1534" s="92"/>
      <c r="M1534" s="92"/>
    </row>
    <row r="1535">
      <c r="A1535" s="103"/>
      <c r="C1535" s="92"/>
      <c r="E1535" s="92"/>
      <c r="F1535" s="105"/>
      <c r="I1535" s="105"/>
      <c r="J1535" s="105"/>
      <c r="K1535" s="92"/>
      <c r="M1535" s="92"/>
    </row>
    <row r="1536">
      <c r="A1536" s="103"/>
      <c r="C1536" s="92"/>
      <c r="E1536" s="92"/>
      <c r="F1536" s="105"/>
      <c r="I1536" s="105"/>
      <c r="J1536" s="105"/>
      <c r="K1536" s="92"/>
      <c r="M1536" s="92"/>
    </row>
    <row r="1537">
      <c r="A1537" s="103"/>
      <c r="C1537" s="92"/>
      <c r="E1537" s="92"/>
      <c r="F1537" s="105"/>
      <c r="I1537" s="105"/>
      <c r="J1537" s="105"/>
      <c r="K1537" s="92"/>
      <c r="M1537" s="92"/>
    </row>
    <row r="1538">
      <c r="A1538" s="103"/>
      <c r="C1538" s="92"/>
      <c r="E1538" s="92"/>
      <c r="F1538" s="105"/>
      <c r="I1538" s="105"/>
      <c r="J1538" s="105"/>
      <c r="K1538" s="92"/>
      <c r="M1538" s="92"/>
    </row>
    <row r="1539">
      <c r="A1539" s="103"/>
      <c r="C1539" s="92"/>
      <c r="E1539" s="92"/>
      <c r="F1539" s="105"/>
      <c r="I1539" s="105"/>
      <c r="J1539" s="105"/>
      <c r="K1539" s="92"/>
      <c r="M1539" s="92"/>
    </row>
    <row r="1540">
      <c r="A1540" s="103"/>
      <c r="C1540" s="92"/>
      <c r="E1540" s="92"/>
      <c r="F1540" s="105"/>
      <c r="I1540" s="105"/>
      <c r="J1540" s="105"/>
      <c r="K1540" s="92"/>
      <c r="M1540" s="92"/>
    </row>
    <row r="1541">
      <c r="A1541" s="103"/>
      <c r="C1541" s="92"/>
      <c r="E1541" s="92"/>
      <c r="F1541" s="105"/>
      <c r="I1541" s="105"/>
      <c r="J1541" s="105"/>
      <c r="K1541" s="92"/>
      <c r="M1541" s="92"/>
    </row>
    <row r="1542">
      <c r="A1542" s="103"/>
      <c r="C1542" s="92"/>
      <c r="E1542" s="92"/>
      <c r="F1542" s="105"/>
      <c r="I1542" s="105"/>
      <c r="J1542" s="105"/>
      <c r="K1542" s="92"/>
      <c r="M1542" s="92"/>
    </row>
    <row r="1543">
      <c r="A1543" s="103"/>
      <c r="C1543" s="92"/>
      <c r="E1543" s="92"/>
      <c r="F1543" s="105"/>
      <c r="I1543" s="105"/>
      <c r="J1543" s="105"/>
      <c r="K1543" s="92"/>
      <c r="M1543" s="92"/>
    </row>
    <row r="1544">
      <c r="A1544" s="103"/>
      <c r="C1544" s="92"/>
      <c r="E1544" s="92"/>
      <c r="F1544" s="105"/>
      <c r="I1544" s="105"/>
      <c r="J1544" s="105"/>
      <c r="K1544" s="92"/>
      <c r="M1544" s="92"/>
    </row>
    <row r="1545">
      <c r="A1545" s="103"/>
      <c r="C1545" s="92"/>
      <c r="E1545" s="92"/>
      <c r="F1545" s="105"/>
      <c r="I1545" s="105"/>
      <c r="J1545" s="105"/>
      <c r="K1545" s="92"/>
      <c r="M1545" s="92"/>
    </row>
    <row r="1546">
      <c r="A1546" s="103"/>
      <c r="C1546" s="92"/>
      <c r="E1546" s="92"/>
      <c r="F1546" s="105"/>
      <c r="I1546" s="105"/>
      <c r="J1546" s="105"/>
      <c r="K1546" s="92"/>
      <c r="M1546" s="92"/>
    </row>
    <row r="1547">
      <c r="A1547" s="103"/>
      <c r="C1547" s="92"/>
      <c r="E1547" s="92"/>
      <c r="F1547" s="105"/>
      <c r="I1547" s="105"/>
      <c r="J1547" s="105"/>
      <c r="K1547" s="92"/>
      <c r="M1547" s="92"/>
    </row>
    <row r="1548">
      <c r="A1548" s="103"/>
      <c r="C1548" s="92"/>
      <c r="E1548" s="92"/>
      <c r="F1548" s="105"/>
      <c r="I1548" s="105"/>
      <c r="J1548" s="105"/>
      <c r="K1548" s="92"/>
      <c r="M1548" s="92"/>
    </row>
    <row r="1549">
      <c r="A1549" s="103"/>
      <c r="C1549" s="92"/>
      <c r="E1549" s="92"/>
      <c r="F1549" s="105"/>
      <c r="I1549" s="105"/>
      <c r="J1549" s="105"/>
      <c r="K1549" s="92"/>
      <c r="M1549" s="92"/>
    </row>
    <row r="1550">
      <c r="A1550" s="103"/>
      <c r="C1550" s="92"/>
      <c r="E1550" s="92"/>
      <c r="F1550" s="105"/>
      <c r="I1550" s="105"/>
      <c r="J1550" s="105"/>
      <c r="K1550" s="92"/>
      <c r="M1550" s="92"/>
    </row>
    <row r="1551">
      <c r="A1551" s="103"/>
      <c r="C1551" s="92"/>
      <c r="E1551" s="92"/>
      <c r="F1551" s="105"/>
      <c r="I1551" s="105"/>
      <c r="J1551" s="105"/>
      <c r="K1551" s="92"/>
      <c r="M1551" s="92"/>
    </row>
    <row r="1552">
      <c r="A1552" s="103"/>
      <c r="C1552" s="92"/>
      <c r="E1552" s="92"/>
      <c r="F1552" s="105"/>
      <c r="I1552" s="105"/>
      <c r="J1552" s="105"/>
      <c r="K1552" s="92"/>
      <c r="M1552" s="92"/>
    </row>
    <row r="1553">
      <c r="A1553" s="103"/>
      <c r="C1553" s="92"/>
      <c r="E1553" s="92"/>
      <c r="F1553" s="105"/>
      <c r="I1553" s="105"/>
      <c r="J1553" s="105"/>
      <c r="K1553" s="92"/>
      <c r="M1553" s="92"/>
    </row>
    <row r="1554">
      <c r="A1554" s="103"/>
      <c r="C1554" s="92"/>
      <c r="E1554" s="92"/>
      <c r="F1554" s="105"/>
      <c r="I1554" s="105"/>
      <c r="J1554" s="105"/>
      <c r="K1554" s="92"/>
      <c r="M1554" s="92"/>
    </row>
    <row r="1555">
      <c r="A1555" s="103"/>
      <c r="C1555" s="92"/>
      <c r="E1555" s="92"/>
      <c r="F1555" s="105"/>
      <c r="I1555" s="105"/>
      <c r="J1555" s="105"/>
      <c r="K1555" s="92"/>
      <c r="M1555" s="92"/>
    </row>
    <row r="1556">
      <c r="A1556" s="103"/>
      <c r="C1556" s="92"/>
      <c r="E1556" s="92"/>
      <c r="F1556" s="105"/>
      <c r="I1556" s="105"/>
      <c r="J1556" s="105"/>
      <c r="K1556" s="92"/>
      <c r="M1556" s="92"/>
    </row>
    <row r="1557">
      <c r="A1557" s="103"/>
      <c r="C1557" s="92"/>
      <c r="E1557" s="92"/>
      <c r="F1557" s="105"/>
      <c r="I1557" s="105"/>
      <c r="J1557" s="105"/>
      <c r="K1557" s="92"/>
      <c r="M1557" s="92"/>
    </row>
    <row r="1558">
      <c r="A1558" s="103"/>
      <c r="C1558" s="92"/>
      <c r="E1558" s="92"/>
      <c r="F1558" s="105"/>
      <c r="I1558" s="105"/>
      <c r="J1558" s="105"/>
      <c r="K1558" s="92"/>
      <c r="M1558" s="92"/>
    </row>
    <row r="1559">
      <c r="A1559" s="103"/>
      <c r="C1559" s="92"/>
      <c r="E1559" s="92"/>
      <c r="F1559" s="105"/>
      <c r="I1559" s="105"/>
      <c r="J1559" s="105"/>
      <c r="K1559" s="92"/>
      <c r="M1559" s="92"/>
    </row>
    <row r="1560">
      <c r="A1560" s="103"/>
      <c r="C1560" s="92"/>
      <c r="E1560" s="92"/>
      <c r="F1560" s="105"/>
      <c r="I1560" s="105"/>
      <c r="J1560" s="105"/>
      <c r="K1560" s="92"/>
      <c r="M1560" s="92"/>
    </row>
    <row r="1561">
      <c r="A1561" s="103"/>
      <c r="C1561" s="92"/>
      <c r="E1561" s="92"/>
      <c r="F1561" s="105"/>
      <c r="I1561" s="105"/>
      <c r="J1561" s="105"/>
      <c r="K1561" s="92"/>
      <c r="M1561" s="92"/>
    </row>
    <row r="1562">
      <c r="A1562" s="103"/>
      <c r="C1562" s="92"/>
      <c r="E1562" s="92"/>
      <c r="F1562" s="105"/>
      <c r="I1562" s="105"/>
      <c r="J1562" s="105"/>
      <c r="K1562" s="92"/>
      <c r="M1562" s="92"/>
    </row>
    <row r="1563">
      <c r="A1563" s="103"/>
      <c r="C1563" s="92"/>
      <c r="E1563" s="92"/>
      <c r="F1563" s="105"/>
      <c r="I1563" s="105"/>
      <c r="J1563" s="105"/>
      <c r="K1563" s="92"/>
      <c r="M1563" s="92"/>
    </row>
    <row r="1564">
      <c r="A1564" s="103"/>
      <c r="C1564" s="92"/>
      <c r="E1564" s="92"/>
      <c r="F1564" s="105"/>
      <c r="I1564" s="105"/>
      <c r="J1564" s="105"/>
      <c r="K1564" s="92"/>
      <c r="M1564" s="92"/>
    </row>
    <row r="1565">
      <c r="A1565" s="103"/>
      <c r="C1565" s="92"/>
      <c r="E1565" s="92"/>
      <c r="F1565" s="105"/>
      <c r="I1565" s="105"/>
      <c r="J1565" s="105"/>
      <c r="K1565" s="92"/>
      <c r="M1565" s="92"/>
    </row>
    <row r="1566">
      <c r="A1566" s="103"/>
      <c r="C1566" s="92"/>
      <c r="E1566" s="92"/>
      <c r="F1566" s="105"/>
      <c r="I1566" s="105"/>
      <c r="J1566" s="105"/>
      <c r="K1566" s="92"/>
      <c r="M1566" s="92"/>
    </row>
    <row r="1567">
      <c r="A1567" s="103"/>
      <c r="C1567" s="92"/>
      <c r="E1567" s="92"/>
      <c r="F1567" s="105"/>
      <c r="I1567" s="105"/>
      <c r="J1567" s="105"/>
      <c r="K1567" s="92"/>
      <c r="M1567" s="92"/>
    </row>
    <row r="1568">
      <c r="A1568" s="103"/>
      <c r="C1568" s="92"/>
      <c r="E1568" s="92"/>
      <c r="F1568" s="105"/>
      <c r="I1568" s="105"/>
      <c r="J1568" s="105"/>
      <c r="K1568" s="92"/>
      <c r="M1568" s="92"/>
    </row>
    <row r="1569">
      <c r="A1569" s="103"/>
      <c r="C1569" s="92"/>
      <c r="E1569" s="92"/>
      <c r="F1569" s="105"/>
      <c r="I1569" s="105"/>
      <c r="J1569" s="105"/>
      <c r="K1569" s="92"/>
      <c r="M1569" s="92"/>
    </row>
    <row r="1570">
      <c r="A1570" s="103"/>
      <c r="C1570" s="92"/>
      <c r="E1570" s="92"/>
      <c r="F1570" s="105"/>
      <c r="I1570" s="105"/>
      <c r="J1570" s="105"/>
      <c r="K1570" s="92"/>
      <c r="M1570" s="92"/>
    </row>
    <row r="1571">
      <c r="A1571" s="103"/>
      <c r="C1571" s="92"/>
      <c r="E1571" s="92"/>
      <c r="F1571" s="105"/>
      <c r="I1571" s="105"/>
      <c r="J1571" s="105"/>
      <c r="K1571" s="92"/>
      <c r="M1571" s="92"/>
    </row>
    <row r="1572">
      <c r="A1572" s="103"/>
      <c r="C1572" s="92"/>
      <c r="E1572" s="92"/>
      <c r="F1572" s="105"/>
      <c r="I1572" s="105"/>
      <c r="J1572" s="105"/>
      <c r="K1572" s="92"/>
      <c r="M1572" s="92"/>
    </row>
    <row r="1573">
      <c r="A1573" s="103"/>
      <c r="C1573" s="92"/>
      <c r="E1573" s="92"/>
      <c r="F1573" s="105"/>
      <c r="I1573" s="105"/>
      <c r="J1573" s="105"/>
      <c r="K1573" s="92"/>
      <c r="M1573" s="92"/>
    </row>
    <row r="1574">
      <c r="A1574" s="103"/>
      <c r="C1574" s="92"/>
      <c r="E1574" s="92"/>
      <c r="F1574" s="105"/>
      <c r="I1574" s="105"/>
      <c r="J1574" s="105"/>
      <c r="K1574" s="92"/>
      <c r="M1574" s="92"/>
    </row>
    <row r="1575">
      <c r="A1575" s="103"/>
      <c r="C1575" s="92"/>
      <c r="E1575" s="92"/>
      <c r="F1575" s="105"/>
      <c r="I1575" s="105"/>
      <c r="J1575" s="105"/>
      <c r="K1575" s="92"/>
      <c r="M1575" s="92"/>
    </row>
    <row r="1576">
      <c r="A1576" s="103"/>
      <c r="C1576" s="92"/>
      <c r="E1576" s="92"/>
      <c r="F1576" s="105"/>
      <c r="I1576" s="105"/>
      <c r="J1576" s="105"/>
      <c r="K1576" s="92"/>
      <c r="M1576" s="92"/>
    </row>
    <row r="1577">
      <c r="A1577" s="103"/>
      <c r="C1577" s="92"/>
      <c r="E1577" s="92"/>
      <c r="F1577" s="105"/>
      <c r="I1577" s="105"/>
      <c r="J1577" s="105"/>
      <c r="K1577" s="92"/>
      <c r="M1577" s="92"/>
    </row>
    <row r="1578">
      <c r="A1578" s="103"/>
      <c r="C1578" s="92"/>
      <c r="E1578" s="92"/>
      <c r="F1578" s="105"/>
      <c r="I1578" s="105"/>
      <c r="J1578" s="105"/>
      <c r="K1578" s="92"/>
      <c r="M1578" s="92"/>
    </row>
    <row r="1579">
      <c r="A1579" s="103"/>
      <c r="C1579" s="92"/>
      <c r="E1579" s="92"/>
      <c r="F1579" s="105"/>
      <c r="I1579" s="105"/>
      <c r="J1579" s="105"/>
      <c r="K1579" s="92"/>
      <c r="M1579" s="92"/>
    </row>
    <row r="1580">
      <c r="A1580" s="103"/>
      <c r="C1580" s="92"/>
      <c r="E1580" s="92"/>
      <c r="F1580" s="105"/>
      <c r="I1580" s="105"/>
      <c r="J1580" s="105"/>
      <c r="K1580" s="92"/>
      <c r="M1580" s="92"/>
    </row>
    <row r="1581">
      <c r="A1581" s="103"/>
      <c r="C1581" s="92"/>
      <c r="E1581" s="92"/>
      <c r="F1581" s="105"/>
      <c r="I1581" s="105"/>
      <c r="J1581" s="105"/>
      <c r="K1581" s="92"/>
      <c r="M1581" s="92"/>
    </row>
    <row r="1582">
      <c r="A1582" s="103"/>
      <c r="C1582" s="92"/>
      <c r="E1582" s="92"/>
      <c r="F1582" s="105"/>
      <c r="I1582" s="105"/>
      <c r="J1582" s="105"/>
      <c r="K1582" s="92"/>
      <c r="M1582" s="92"/>
    </row>
    <row r="1583">
      <c r="A1583" s="103"/>
      <c r="C1583" s="92"/>
      <c r="E1583" s="92"/>
      <c r="F1583" s="105"/>
      <c r="I1583" s="105"/>
      <c r="J1583" s="105"/>
      <c r="K1583" s="92"/>
      <c r="M1583" s="92"/>
    </row>
    <row r="1584">
      <c r="A1584" s="103"/>
      <c r="C1584" s="92"/>
      <c r="E1584" s="92"/>
      <c r="F1584" s="105"/>
      <c r="I1584" s="105"/>
      <c r="J1584" s="105"/>
      <c r="K1584" s="92"/>
      <c r="M1584" s="92"/>
    </row>
    <row r="1585">
      <c r="A1585" s="103"/>
      <c r="C1585" s="92"/>
      <c r="E1585" s="92"/>
      <c r="F1585" s="105"/>
      <c r="I1585" s="105"/>
      <c r="J1585" s="105"/>
      <c r="K1585" s="92"/>
      <c r="M1585" s="92"/>
    </row>
    <row r="1586">
      <c r="A1586" s="103"/>
      <c r="C1586" s="92"/>
      <c r="E1586" s="92"/>
      <c r="F1586" s="105"/>
      <c r="I1586" s="105"/>
      <c r="J1586" s="105"/>
      <c r="K1586" s="92"/>
      <c r="M1586" s="92"/>
    </row>
    <row r="1587">
      <c r="A1587" s="103"/>
      <c r="C1587" s="92"/>
      <c r="E1587" s="92"/>
      <c r="F1587" s="105"/>
      <c r="I1587" s="105"/>
      <c r="J1587" s="105"/>
      <c r="K1587" s="92"/>
      <c r="M1587" s="92"/>
    </row>
    <row r="1588">
      <c r="A1588" s="103"/>
      <c r="C1588" s="92"/>
      <c r="E1588" s="92"/>
      <c r="F1588" s="105"/>
      <c r="I1588" s="105"/>
      <c r="J1588" s="105"/>
      <c r="K1588" s="92"/>
      <c r="M1588" s="92"/>
    </row>
    <row r="1589">
      <c r="A1589" s="103"/>
      <c r="C1589" s="92"/>
      <c r="E1589" s="92"/>
      <c r="F1589" s="105"/>
      <c r="I1589" s="105"/>
      <c r="J1589" s="105"/>
      <c r="K1589" s="92"/>
      <c r="M1589" s="92"/>
    </row>
    <row r="1590">
      <c r="A1590" s="103"/>
      <c r="C1590" s="92"/>
      <c r="E1590" s="92"/>
      <c r="F1590" s="105"/>
      <c r="I1590" s="105"/>
      <c r="J1590" s="105"/>
      <c r="K1590" s="92"/>
      <c r="M1590" s="92"/>
    </row>
    <row r="1591">
      <c r="A1591" s="103"/>
      <c r="C1591" s="92"/>
      <c r="E1591" s="92"/>
      <c r="F1591" s="105"/>
      <c r="I1591" s="105"/>
      <c r="J1591" s="105"/>
      <c r="K1591" s="92"/>
      <c r="M1591" s="92"/>
    </row>
    <row r="1592">
      <c r="A1592" s="103"/>
      <c r="C1592" s="92"/>
      <c r="E1592" s="92"/>
      <c r="F1592" s="105"/>
      <c r="I1592" s="105"/>
      <c r="J1592" s="105"/>
      <c r="K1592" s="92"/>
      <c r="M1592" s="92"/>
    </row>
    <row r="1593">
      <c r="A1593" s="103"/>
      <c r="C1593" s="92"/>
      <c r="E1593" s="92"/>
      <c r="F1593" s="105"/>
      <c r="I1593" s="105"/>
      <c r="J1593" s="105"/>
      <c r="K1593" s="92"/>
      <c r="M1593" s="92"/>
    </row>
    <row r="1594">
      <c r="A1594" s="103"/>
      <c r="C1594" s="92"/>
      <c r="E1594" s="92"/>
      <c r="F1594" s="105"/>
      <c r="I1594" s="105"/>
      <c r="J1594" s="105"/>
      <c r="K1594" s="92"/>
      <c r="M1594" s="92"/>
    </row>
    <row r="1595">
      <c r="A1595" s="103"/>
      <c r="C1595" s="92"/>
      <c r="E1595" s="92"/>
      <c r="F1595" s="105"/>
      <c r="I1595" s="105"/>
      <c r="J1595" s="105"/>
      <c r="K1595" s="92"/>
      <c r="M1595" s="92"/>
    </row>
    <row r="1596">
      <c r="A1596" s="103"/>
      <c r="C1596" s="92"/>
      <c r="E1596" s="92"/>
      <c r="F1596" s="105"/>
      <c r="I1596" s="105"/>
      <c r="J1596" s="105"/>
      <c r="K1596" s="92"/>
      <c r="M1596" s="92"/>
    </row>
    <row r="1597">
      <c r="A1597" s="103"/>
      <c r="C1597" s="92"/>
      <c r="E1597" s="92"/>
      <c r="F1597" s="105"/>
      <c r="I1597" s="105"/>
      <c r="J1597" s="105"/>
      <c r="K1597" s="92"/>
      <c r="M1597" s="92"/>
    </row>
    <row r="1598">
      <c r="A1598" s="103"/>
      <c r="C1598" s="92"/>
      <c r="E1598" s="92"/>
      <c r="F1598" s="105"/>
      <c r="I1598" s="105"/>
      <c r="J1598" s="105"/>
      <c r="K1598" s="92"/>
      <c r="M1598" s="92"/>
    </row>
    <row r="1599">
      <c r="A1599" s="103"/>
      <c r="C1599" s="92"/>
      <c r="E1599" s="92"/>
      <c r="F1599" s="105"/>
      <c r="I1599" s="105"/>
      <c r="J1599" s="105"/>
      <c r="K1599" s="92"/>
      <c r="M1599" s="92"/>
    </row>
    <row r="1600">
      <c r="A1600" s="103"/>
      <c r="C1600" s="92"/>
      <c r="E1600" s="92"/>
      <c r="F1600" s="105"/>
      <c r="I1600" s="105"/>
      <c r="J1600" s="105"/>
      <c r="K1600" s="92"/>
      <c r="M1600" s="92"/>
    </row>
    <row r="1601">
      <c r="A1601" s="103"/>
      <c r="C1601" s="92"/>
      <c r="E1601" s="92"/>
      <c r="F1601" s="105"/>
      <c r="I1601" s="105"/>
      <c r="J1601" s="105"/>
      <c r="K1601" s="92"/>
      <c r="M1601" s="92"/>
    </row>
    <row r="1602">
      <c r="A1602" s="103"/>
      <c r="C1602" s="92"/>
      <c r="E1602" s="92"/>
      <c r="F1602" s="105"/>
      <c r="I1602" s="105"/>
      <c r="J1602" s="105"/>
      <c r="K1602" s="92"/>
      <c r="M1602" s="92"/>
    </row>
    <row r="1603">
      <c r="A1603" s="103"/>
      <c r="C1603" s="92"/>
      <c r="E1603" s="92"/>
      <c r="F1603" s="105"/>
      <c r="I1603" s="105"/>
      <c r="J1603" s="105"/>
      <c r="K1603" s="92"/>
      <c r="M1603" s="92"/>
    </row>
    <row r="1604">
      <c r="A1604" s="103"/>
      <c r="C1604" s="92"/>
      <c r="E1604" s="92"/>
      <c r="F1604" s="105"/>
      <c r="I1604" s="105"/>
      <c r="J1604" s="105"/>
      <c r="K1604" s="92"/>
      <c r="M1604" s="92"/>
    </row>
    <row r="1605">
      <c r="A1605" s="103"/>
      <c r="C1605" s="92"/>
      <c r="E1605" s="92"/>
      <c r="F1605" s="105"/>
      <c r="I1605" s="105"/>
      <c r="J1605" s="105"/>
      <c r="K1605" s="92"/>
      <c r="M1605" s="92"/>
    </row>
    <row r="1606">
      <c r="A1606" s="103"/>
      <c r="C1606" s="92"/>
      <c r="E1606" s="92"/>
      <c r="F1606" s="105"/>
      <c r="I1606" s="105"/>
      <c r="J1606" s="105"/>
      <c r="K1606" s="92"/>
      <c r="M1606" s="92"/>
    </row>
    <row r="1607">
      <c r="A1607" s="103"/>
      <c r="C1607" s="92"/>
      <c r="E1607" s="92"/>
      <c r="F1607" s="105"/>
      <c r="I1607" s="105"/>
      <c r="J1607" s="105"/>
      <c r="K1607" s="92"/>
      <c r="M1607" s="92"/>
    </row>
    <row r="1608">
      <c r="A1608" s="103"/>
      <c r="C1608" s="92"/>
      <c r="E1608" s="92"/>
      <c r="F1608" s="105"/>
      <c r="I1608" s="105"/>
      <c r="J1608" s="105"/>
      <c r="K1608" s="92"/>
      <c r="M1608" s="92"/>
    </row>
    <row r="1609">
      <c r="A1609" s="103"/>
      <c r="C1609" s="92"/>
      <c r="E1609" s="92"/>
      <c r="F1609" s="105"/>
      <c r="I1609" s="105"/>
      <c r="J1609" s="105"/>
      <c r="K1609" s="92"/>
      <c r="M1609" s="92"/>
    </row>
    <row r="1610">
      <c r="A1610" s="103"/>
      <c r="C1610" s="92"/>
      <c r="E1610" s="92"/>
      <c r="F1610" s="105"/>
      <c r="I1610" s="105"/>
      <c r="J1610" s="105"/>
      <c r="K1610" s="92"/>
      <c r="M1610" s="92"/>
    </row>
    <row r="1611">
      <c r="A1611" s="103"/>
      <c r="C1611" s="92"/>
      <c r="E1611" s="92"/>
      <c r="F1611" s="105"/>
      <c r="I1611" s="105"/>
      <c r="J1611" s="105"/>
      <c r="K1611" s="92"/>
      <c r="M1611" s="92"/>
    </row>
    <row r="1612">
      <c r="A1612" s="103"/>
      <c r="C1612" s="92"/>
      <c r="E1612" s="92"/>
      <c r="F1612" s="105"/>
      <c r="I1612" s="105"/>
      <c r="J1612" s="105"/>
      <c r="K1612" s="92"/>
      <c r="M1612" s="92"/>
    </row>
    <row r="1613">
      <c r="A1613" s="103"/>
      <c r="C1613" s="92"/>
      <c r="E1613" s="92"/>
      <c r="F1613" s="105"/>
      <c r="I1613" s="105"/>
      <c r="J1613" s="105"/>
      <c r="K1613" s="92"/>
      <c r="M1613" s="92"/>
    </row>
    <row r="1614">
      <c r="A1614" s="103"/>
      <c r="C1614" s="92"/>
      <c r="E1614" s="92"/>
      <c r="F1614" s="105"/>
      <c r="I1614" s="105"/>
      <c r="J1614" s="105"/>
      <c r="K1614" s="92"/>
      <c r="M1614" s="92"/>
    </row>
    <row r="1615">
      <c r="A1615" s="103"/>
      <c r="C1615" s="92"/>
      <c r="E1615" s="92"/>
      <c r="F1615" s="105"/>
      <c r="I1615" s="105"/>
      <c r="J1615" s="105"/>
      <c r="K1615" s="92"/>
      <c r="M1615" s="92"/>
    </row>
    <row r="1616">
      <c r="A1616" s="103"/>
      <c r="C1616" s="92"/>
      <c r="E1616" s="92"/>
      <c r="F1616" s="105"/>
      <c r="I1616" s="105"/>
      <c r="J1616" s="105"/>
      <c r="K1616" s="92"/>
      <c r="M1616" s="92"/>
    </row>
    <row r="1617">
      <c r="A1617" s="103"/>
      <c r="C1617" s="92"/>
      <c r="E1617" s="92"/>
      <c r="F1617" s="105"/>
      <c r="I1617" s="105"/>
      <c r="J1617" s="105"/>
      <c r="K1617" s="92"/>
      <c r="M1617" s="92"/>
    </row>
    <row r="1618">
      <c r="A1618" s="103"/>
      <c r="C1618" s="92"/>
      <c r="E1618" s="92"/>
      <c r="F1618" s="105"/>
      <c r="I1618" s="105"/>
      <c r="J1618" s="105"/>
      <c r="K1618" s="92"/>
      <c r="M1618" s="92"/>
    </row>
    <row r="1619">
      <c r="A1619" s="103"/>
      <c r="C1619" s="92"/>
      <c r="E1619" s="92"/>
      <c r="F1619" s="105"/>
      <c r="I1619" s="105"/>
      <c r="J1619" s="105"/>
      <c r="K1619" s="92"/>
      <c r="M1619" s="92"/>
    </row>
    <row r="1620">
      <c r="A1620" s="103"/>
      <c r="C1620" s="92"/>
      <c r="E1620" s="92"/>
      <c r="F1620" s="105"/>
      <c r="I1620" s="105"/>
      <c r="J1620" s="105"/>
      <c r="K1620" s="92"/>
      <c r="M1620" s="92"/>
    </row>
    <row r="1621">
      <c r="A1621" s="103"/>
      <c r="C1621" s="92"/>
      <c r="E1621" s="92"/>
      <c r="F1621" s="105"/>
      <c r="I1621" s="105"/>
      <c r="J1621" s="105"/>
      <c r="K1621" s="92"/>
      <c r="M1621" s="92"/>
    </row>
    <row r="1622">
      <c r="A1622" s="103"/>
      <c r="C1622" s="92"/>
      <c r="E1622" s="92"/>
      <c r="F1622" s="105"/>
      <c r="I1622" s="105"/>
      <c r="J1622" s="105"/>
      <c r="K1622" s="92"/>
      <c r="M1622" s="92"/>
    </row>
    <row r="1623">
      <c r="A1623" s="103"/>
      <c r="C1623" s="92"/>
      <c r="E1623" s="92"/>
      <c r="F1623" s="105"/>
      <c r="I1623" s="105"/>
      <c r="J1623" s="105"/>
      <c r="K1623" s="92"/>
      <c r="M1623" s="92"/>
    </row>
    <row r="1624">
      <c r="A1624" s="103"/>
      <c r="C1624" s="92"/>
      <c r="E1624" s="92"/>
      <c r="F1624" s="105"/>
      <c r="I1624" s="105"/>
      <c r="J1624" s="105"/>
      <c r="K1624" s="92"/>
      <c r="M1624" s="92"/>
    </row>
    <row r="1625">
      <c r="A1625" s="103"/>
      <c r="C1625" s="92"/>
      <c r="E1625" s="92"/>
      <c r="F1625" s="105"/>
      <c r="I1625" s="105"/>
      <c r="J1625" s="105"/>
      <c r="K1625" s="92"/>
      <c r="M1625" s="92"/>
    </row>
    <row r="1626">
      <c r="A1626" s="103"/>
      <c r="C1626" s="92"/>
      <c r="E1626" s="92"/>
      <c r="F1626" s="105"/>
      <c r="I1626" s="105"/>
      <c r="J1626" s="105"/>
      <c r="K1626" s="92"/>
      <c r="M1626" s="92"/>
    </row>
    <row r="1627">
      <c r="A1627" s="103"/>
      <c r="C1627" s="92"/>
      <c r="E1627" s="92"/>
      <c r="F1627" s="105"/>
      <c r="I1627" s="105"/>
      <c r="J1627" s="105"/>
      <c r="K1627" s="92"/>
      <c r="M1627" s="92"/>
    </row>
    <row r="1628">
      <c r="A1628" s="103"/>
      <c r="C1628" s="92"/>
      <c r="E1628" s="92"/>
      <c r="F1628" s="105"/>
      <c r="I1628" s="105"/>
      <c r="J1628" s="105"/>
      <c r="K1628" s="92"/>
      <c r="M1628" s="92"/>
    </row>
    <row r="1629">
      <c r="A1629" s="103"/>
      <c r="C1629" s="92"/>
      <c r="E1629" s="92"/>
      <c r="F1629" s="105"/>
      <c r="I1629" s="105"/>
      <c r="J1629" s="105"/>
      <c r="K1629" s="92"/>
      <c r="M1629" s="92"/>
    </row>
    <row r="1630">
      <c r="A1630" s="103"/>
      <c r="C1630" s="92"/>
      <c r="E1630" s="92"/>
      <c r="F1630" s="105"/>
      <c r="I1630" s="105"/>
      <c r="J1630" s="105"/>
      <c r="K1630" s="92"/>
      <c r="M1630" s="92"/>
    </row>
    <row r="1631">
      <c r="A1631" s="103"/>
      <c r="C1631" s="92"/>
      <c r="E1631" s="92"/>
      <c r="F1631" s="105"/>
      <c r="I1631" s="105"/>
      <c r="J1631" s="105"/>
      <c r="K1631" s="92"/>
      <c r="M1631" s="92"/>
    </row>
    <row r="1632">
      <c r="A1632" s="103"/>
      <c r="C1632" s="92"/>
      <c r="E1632" s="92"/>
      <c r="F1632" s="105"/>
      <c r="I1632" s="105"/>
      <c r="J1632" s="105"/>
      <c r="K1632" s="92"/>
      <c r="M1632" s="92"/>
    </row>
    <row r="1633">
      <c r="A1633" s="103"/>
      <c r="C1633" s="92"/>
      <c r="E1633" s="92"/>
      <c r="F1633" s="105"/>
      <c r="I1633" s="105"/>
      <c r="J1633" s="105"/>
      <c r="K1633" s="92"/>
      <c r="M1633" s="92"/>
    </row>
    <row r="1634">
      <c r="A1634" s="103"/>
      <c r="C1634" s="92"/>
      <c r="E1634" s="92"/>
      <c r="F1634" s="105"/>
      <c r="I1634" s="105"/>
      <c r="J1634" s="105"/>
      <c r="K1634" s="92"/>
      <c r="M1634" s="92"/>
    </row>
    <row r="1635">
      <c r="A1635" s="103"/>
      <c r="C1635" s="92"/>
      <c r="E1635" s="92"/>
      <c r="F1635" s="105"/>
      <c r="I1635" s="105"/>
      <c r="J1635" s="105"/>
      <c r="K1635" s="92"/>
      <c r="M1635" s="92"/>
    </row>
    <row r="1636">
      <c r="A1636" s="103"/>
      <c r="C1636" s="92"/>
      <c r="E1636" s="92"/>
      <c r="F1636" s="105"/>
      <c r="I1636" s="105"/>
      <c r="J1636" s="105"/>
      <c r="K1636" s="92"/>
      <c r="M1636" s="92"/>
    </row>
    <row r="1637">
      <c r="A1637" s="103"/>
      <c r="C1637" s="92"/>
      <c r="E1637" s="92"/>
      <c r="F1637" s="105"/>
      <c r="I1637" s="105"/>
      <c r="J1637" s="105"/>
      <c r="K1637" s="92"/>
      <c r="M1637" s="92"/>
    </row>
    <row r="1638">
      <c r="A1638" s="103"/>
      <c r="C1638" s="92"/>
      <c r="E1638" s="92"/>
      <c r="F1638" s="105"/>
      <c r="I1638" s="105"/>
      <c r="J1638" s="105"/>
      <c r="K1638" s="92"/>
      <c r="M1638" s="92"/>
    </row>
    <row r="1639">
      <c r="A1639" s="103"/>
      <c r="C1639" s="92"/>
      <c r="E1639" s="92"/>
      <c r="F1639" s="105"/>
      <c r="I1639" s="105"/>
      <c r="J1639" s="105"/>
      <c r="K1639" s="92"/>
      <c r="M1639" s="92"/>
    </row>
    <row r="1640">
      <c r="A1640" s="103"/>
      <c r="C1640" s="92"/>
      <c r="E1640" s="92"/>
      <c r="F1640" s="105"/>
      <c r="I1640" s="105"/>
      <c r="J1640" s="105"/>
      <c r="K1640" s="92"/>
      <c r="M1640" s="92"/>
    </row>
    <row r="1641">
      <c r="A1641" s="103"/>
      <c r="C1641" s="92"/>
      <c r="E1641" s="92"/>
      <c r="F1641" s="105"/>
      <c r="I1641" s="105"/>
      <c r="J1641" s="105"/>
      <c r="K1641" s="92"/>
      <c r="M1641" s="92"/>
    </row>
    <row r="1642">
      <c r="A1642" s="103"/>
      <c r="C1642" s="92"/>
      <c r="E1642" s="92"/>
      <c r="F1642" s="105"/>
      <c r="I1642" s="105"/>
      <c r="J1642" s="105"/>
      <c r="K1642" s="92"/>
      <c r="M1642" s="92"/>
    </row>
    <row r="1643">
      <c r="A1643" s="103"/>
      <c r="C1643" s="92"/>
      <c r="E1643" s="92"/>
      <c r="F1643" s="105"/>
      <c r="I1643" s="105"/>
      <c r="J1643" s="105"/>
      <c r="K1643" s="92"/>
      <c r="M1643" s="92"/>
    </row>
    <row r="1644">
      <c r="A1644" s="103"/>
      <c r="C1644" s="92"/>
      <c r="E1644" s="92"/>
      <c r="F1644" s="105"/>
      <c r="I1644" s="105"/>
      <c r="J1644" s="105"/>
      <c r="K1644" s="92"/>
      <c r="M1644" s="92"/>
    </row>
    <row r="1645">
      <c r="A1645" s="103"/>
      <c r="C1645" s="92"/>
      <c r="E1645" s="92"/>
      <c r="F1645" s="105"/>
      <c r="I1645" s="105"/>
      <c r="J1645" s="105"/>
      <c r="K1645" s="92"/>
      <c r="M1645" s="92"/>
    </row>
    <row r="1646">
      <c r="A1646" s="103"/>
      <c r="C1646" s="92"/>
      <c r="E1646" s="92"/>
      <c r="F1646" s="105"/>
      <c r="I1646" s="105"/>
      <c r="J1646" s="105"/>
      <c r="K1646" s="92"/>
      <c r="M1646" s="92"/>
    </row>
    <row r="1647">
      <c r="A1647" s="103"/>
      <c r="C1647" s="92"/>
      <c r="E1647" s="92"/>
      <c r="F1647" s="105"/>
      <c r="I1647" s="105"/>
      <c r="J1647" s="105"/>
      <c r="K1647" s="92"/>
      <c r="M1647" s="92"/>
    </row>
    <row r="1648">
      <c r="A1648" s="103"/>
      <c r="C1648" s="92"/>
      <c r="E1648" s="92"/>
      <c r="F1648" s="105"/>
      <c r="I1648" s="105"/>
      <c r="J1648" s="105"/>
      <c r="K1648" s="92"/>
      <c r="M1648" s="92"/>
    </row>
    <row r="1649">
      <c r="A1649" s="103"/>
      <c r="C1649" s="92"/>
      <c r="E1649" s="92"/>
      <c r="F1649" s="105"/>
      <c r="I1649" s="105"/>
      <c r="J1649" s="105"/>
      <c r="K1649" s="92"/>
      <c r="M1649" s="92"/>
    </row>
    <row r="1650">
      <c r="A1650" s="103"/>
      <c r="C1650" s="92"/>
      <c r="E1650" s="92"/>
      <c r="F1650" s="105"/>
      <c r="I1650" s="105"/>
      <c r="J1650" s="105"/>
      <c r="K1650" s="92"/>
      <c r="M1650" s="92"/>
    </row>
    <row r="1651">
      <c r="A1651" s="103"/>
      <c r="C1651" s="92"/>
      <c r="E1651" s="92"/>
      <c r="F1651" s="105"/>
      <c r="I1651" s="105"/>
      <c r="J1651" s="105"/>
      <c r="K1651" s="92"/>
      <c r="M1651" s="92"/>
    </row>
    <row r="1652">
      <c r="A1652" s="103"/>
      <c r="C1652" s="92"/>
      <c r="E1652" s="92"/>
      <c r="F1652" s="105"/>
      <c r="I1652" s="105"/>
      <c r="J1652" s="105"/>
      <c r="K1652" s="92"/>
      <c r="M1652" s="92"/>
    </row>
    <row r="1653">
      <c r="A1653" s="103"/>
      <c r="C1653" s="92"/>
      <c r="E1653" s="92"/>
      <c r="F1653" s="105"/>
      <c r="I1653" s="105"/>
      <c r="J1653" s="105"/>
      <c r="K1653" s="92"/>
      <c r="M1653" s="92"/>
    </row>
    <row r="1654">
      <c r="A1654" s="103"/>
      <c r="C1654" s="92"/>
      <c r="E1654" s="92"/>
      <c r="F1654" s="105"/>
      <c r="I1654" s="105"/>
      <c r="J1654" s="105"/>
      <c r="K1654" s="92"/>
      <c r="M1654" s="92"/>
    </row>
    <row r="1655">
      <c r="A1655" s="103"/>
      <c r="C1655" s="92"/>
      <c r="E1655" s="92"/>
      <c r="F1655" s="105"/>
      <c r="I1655" s="105"/>
      <c r="J1655" s="105"/>
      <c r="K1655" s="92"/>
      <c r="M1655" s="92"/>
    </row>
    <row r="1656">
      <c r="A1656" s="103"/>
      <c r="C1656" s="92"/>
      <c r="E1656" s="92"/>
      <c r="F1656" s="105"/>
      <c r="I1656" s="105"/>
      <c r="J1656" s="105"/>
      <c r="K1656" s="92"/>
      <c r="M1656" s="92"/>
    </row>
    <row r="1657">
      <c r="A1657" s="103"/>
      <c r="C1657" s="92"/>
      <c r="E1657" s="92"/>
      <c r="F1657" s="105"/>
      <c r="I1657" s="105"/>
      <c r="J1657" s="105"/>
      <c r="K1657" s="92"/>
      <c r="M1657" s="92"/>
    </row>
    <row r="1658">
      <c r="A1658" s="103"/>
      <c r="C1658" s="92"/>
      <c r="E1658" s="92"/>
      <c r="F1658" s="105"/>
      <c r="I1658" s="105"/>
      <c r="J1658" s="105"/>
      <c r="K1658" s="92"/>
      <c r="M1658" s="92"/>
    </row>
    <row r="1659">
      <c r="A1659" s="103"/>
      <c r="C1659" s="92"/>
      <c r="E1659" s="92"/>
      <c r="F1659" s="105"/>
      <c r="I1659" s="105"/>
      <c r="J1659" s="105"/>
      <c r="K1659" s="92"/>
      <c r="M1659" s="92"/>
    </row>
    <row r="1660">
      <c r="A1660" s="103"/>
      <c r="C1660" s="92"/>
      <c r="E1660" s="92"/>
      <c r="F1660" s="105"/>
      <c r="I1660" s="105"/>
      <c r="J1660" s="105"/>
      <c r="K1660" s="92"/>
      <c r="M1660" s="92"/>
    </row>
    <row r="1661">
      <c r="A1661" s="103"/>
      <c r="C1661" s="92"/>
      <c r="E1661" s="92"/>
      <c r="F1661" s="105"/>
      <c r="I1661" s="105"/>
      <c r="J1661" s="105"/>
      <c r="K1661" s="92"/>
      <c r="M1661" s="92"/>
    </row>
    <row r="1662">
      <c r="A1662" s="103"/>
      <c r="C1662" s="92"/>
      <c r="E1662" s="92"/>
      <c r="F1662" s="105"/>
      <c r="I1662" s="105"/>
      <c r="J1662" s="105"/>
      <c r="K1662" s="92"/>
      <c r="M1662" s="92"/>
    </row>
    <row r="1663">
      <c r="A1663" s="103"/>
      <c r="C1663" s="92"/>
      <c r="E1663" s="92"/>
      <c r="F1663" s="105"/>
      <c r="I1663" s="105"/>
      <c r="J1663" s="105"/>
      <c r="K1663" s="92"/>
      <c r="M1663" s="92"/>
    </row>
    <row r="1664">
      <c r="A1664" s="103"/>
      <c r="C1664" s="92"/>
      <c r="E1664" s="92"/>
      <c r="F1664" s="105"/>
      <c r="I1664" s="105"/>
      <c r="J1664" s="105"/>
      <c r="K1664" s="92"/>
      <c r="M1664" s="92"/>
    </row>
    <row r="1665">
      <c r="A1665" s="103"/>
      <c r="C1665" s="92"/>
      <c r="E1665" s="92"/>
      <c r="F1665" s="105"/>
      <c r="I1665" s="105"/>
      <c r="J1665" s="105"/>
      <c r="K1665" s="92"/>
      <c r="M1665" s="92"/>
    </row>
    <row r="1666">
      <c r="A1666" s="103"/>
      <c r="C1666" s="92"/>
      <c r="E1666" s="92"/>
      <c r="F1666" s="105"/>
      <c r="I1666" s="105"/>
      <c r="J1666" s="105"/>
      <c r="K1666" s="92"/>
      <c r="M1666" s="92"/>
    </row>
    <row r="1667">
      <c r="A1667" s="103"/>
      <c r="C1667" s="92"/>
      <c r="E1667" s="92"/>
      <c r="F1667" s="105"/>
      <c r="I1667" s="105"/>
      <c r="J1667" s="105"/>
      <c r="K1667" s="92"/>
      <c r="M1667" s="92"/>
    </row>
    <row r="1668">
      <c r="A1668" s="103"/>
      <c r="C1668" s="92"/>
      <c r="E1668" s="92"/>
      <c r="F1668" s="105"/>
      <c r="I1668" s="105"/>
      <c r="J1668" s="105"/>
      <c r="K1668" s="92"/>
      <c r="M1668" s="92"/>
    </row>
    <row r="1669">
      <c r="A1669" s="103"/>
      <c r="C1669" s="92"/>
      <c r="E1669" s="92"/>
      <c r="F1669" s="105"/>
      <c r="I1669" s="105"/>
      <c r="J1669" s="105"/>
      <c r="K1669" s="92"/>
      <c r="M1669" s="92"/>
    </row>
    <row r="1670">
      <c r="A1670" s="103"/>
      <c r="C1670" s="92"/>
      <c r="E1670" s="92"/>
      <c r="F1670" s="105"/>
      <c r="I1670" s="105"/>
      <c r="J1670" s="105"/>
      <c r="K1670" s="92"/>
      <c r="M1670" s="92"/>
    </row>
    <row r="1671">
      <c r="A1671" s="103"/>
      <c r="C1671" s="92"/>
      <c r="E1671" s="92"/>
      <c r="F1671" s="105"/>
      <c r="I1671" s="105"/>
      <c r="J1671" s="105"/>
      <c r="K1671" s="92"/>
      <c r="M1671" s="92"/>
    </row>
    <row r="1672">
      <c r="A1672" s="103"/>
      <c r="C1672" s="92"/>
      <c r="E1672" s="92"/>
      <c r="F1672" s="105"/>
      <c r="I1672" s="105"/>
      <c r="J1672" s="105"/>
      <c r="K1672" s="92"/>
      <c r="M1672" s="92"/>
    </row>
    <row r="1673">
      <c r="A1673" s="103"/>
      <c r="C1673" s="92"/>
      <c r="E1673" s="92"/>
      <c r="F1673" s="105"/>
      <c r="I1673" s="105"/>
      <c r="J1673" s="105"/>
      <c r="K1673" s="92"/>
      <c r="M1673" s="92"/>
    </row>
    <row r="1674">
      <c r="A1674" s="103"/>
      <c r="C1674" s="92"/>
      <c r="E1674" s="92"/>
      <c r="F1674" s="105"/>
      <c r="I1674" s="105"/>
      <c r="J1674" s="105"/>
      <c r="K1674" s="92"/>
      <c r="M1674" s="92"/>
    </row>
    <row r="1675">
      <c r="A1675" s="103"/>
      <c r="C1675" s="92"/>
      <c r="E1675" s="92"/>
      <c r="F1675" s="105"/>
      <c r="I1675" s="105"/>
      <c r="J1675" s="105"/>
      <c r="K1675" s="92"/>
      <c r="M1675" s="92"/>
    </row>
    <row r="1676">
      <c r="A1676" s="103"/>
      <c r="C1676" s="92"/>
      <c r="E1676" s="92"/>
      <c r="F1676" s="105"/>
      <c r="I1676" s="105"/>
      <c r="J1676" s="105"/>
      <c r="K1676" s="92"/>
      <c r="M1676" s="92"/>
    </row>
    <row r="1677">
      <c r="A1677" s="103"/>
      <c r="C1677" s="92"/>
      <c r="E1677" s="92"/>
      <c r="F1677" s="105"/>
      <c r="I1677" s="105"/>
      <c r="J1677" s="105"/>
      <c r="K1677" s="92"/>
      <c r="M1677" s="92"/>
    </row>
    <row r="1678">
      <c r="A1678" s="103"/>
      <c r="C1678" s="92"/>
      <c r="E1678" s="92"/>
      <c r="F1678" s="105"/>
      <c r="I1678" s="105"/>
      <c r="J1678" s="105"/>
      <c r="K1678" s="92"/>
      <c r="M1678" s="92"/>
    </row>
    <row r="1679">
      <c r="A1679" s="103"/>
      <c r="C1679" s="92"/>
      <c r="E1679" s="92"/>
      <c r="F1679" s="105"/>
      <c r="I1679" s="105"/>
      <c r="J1679" s="105"/>
      <c r="K1679" s="92"/>
      <c r="M1679" s="92"/>
    </row>
    <row r="1680">
      <c r="A1680" s="103"/>
      <c r="C1680" s="92"/>
      <c r="E1680" s="92"/>
      <c r="F1680" s="105"/>
      <c r="I1680" s="105"/>
      <c r="J1680" s="105"/>
      <c r="K1680" s="92"/>
      <c r="M1680" s="92"/>
    </row>
    <row r="1681">
      <c r="A1681" s="103"/>
      <c r="C1681" s="92"/>
      <c r="E1681" s="92"/>
      <c r="F1681" s="105"/>
      <c r="I1681" s="105"/>
      <c r="J1681" s="105"/>
      <c r="K1681" s="92"/>
      <c r="M1681" s="92"/>
    </row>
    <row r="1682">
      <c r="A1682" s="103"/>
      <c r="C1682" s="92"/>
      <c r="E1682" s="92"/>
      <c r="F1682" s="105"/>
      <c r="I1682" s="105"/>
      <c r="J1682" s="105"/>
      <c r="K1682" s="92"/>
      <c r="M1682" s="92"/>
    </row>
    <row r="1683">
      <c r="A1683" s="103"/>
      <c r="C1683" s="92"/>
      <c r="E1683" s="92"/>
      <c r="F1683" s="105"/>
      <c r="I1683" s="105"/>
      <c r="J1683" s="105"/>
      <c r="K1683" s="92"/>
      <c r="M1683" s="92"/>
    </row>
    <row r="1684">
      <c r="A1684" s="103"/>
      <c r="C1684" s="92"/>
      <c r="E1684" s="92"/>
      <c r="F1684" s="105"/>
      <c r="I1684" s="105"/>
      <c r="J1684" s="105"/>
      <c r="K1684" s="92"/>
      <c r="M1684" s="92"/>
    </row>
    <row r="1685">
      <c r="A1685" s="103"/>
      <c r="C1685" s="92"/>
      <c r="E1685" s="92"/>
      <c r="F1685" s="105"/>
      <c r="I1685" s="105"/>
      <c r="J1685" s="105"/>
      <c r="K1685" s="92"/>
      <c r="M1685" s="92"/>
    </row>
    <row r="1686">
      <c r="A1686" s="103"/>
      <c r="C1686" s="92"/>
      <c r="E1686" s="92"/>
      <c r="F1686" s="105"/>
      <c r="I1686" s="105"/>
      <c r="J1686" s="105"/>
      <c r="K1686" s="92"/>
      <c r="M1686" s="92"/>
    </row>
    <row r="1687">
      <c r="A1687" s="103"/>
      <c r="C1687" s="92"/>
      <c r="E1687" s="92"/>
      <c r="F1687" s="105"/>
      <c r="I1687" s="105"/>
      <c r="J1687" s="105"/>
      <c r="K1687" s="92"/>
      <c r="M1687" s="92"/>
    </row>
    <row r="1688">
      <c r="A1688" s="103"/>
      <c r="C1688" s="92"/>
      <c r="E1688" s="92"/>
      <c r="F1688" s="105"/>
      <c r="I1688" s="105"/>
      <c r="J1688" s="105"/>
      <c r="K1688" s="92"/>
      <c r="M1688" s="92"/>
    </row>
    <row r="1689">
      <c r="A1689" s="103"/>
      <c r="C1689" s="92"/>
      <c r="E1689" s="92"/>
      <c r="F1689" s="105"/>
      <c r="I1689" s="105"/>
      <c r="J1689" s="105"/>
      <c r="K1689" s="92"/>
      <c r="M1689" s="92"/>
    </row>
    <row r="1690">
      <c r="A1690" s="103"/>
      <c r="C1690" s="92"/>
      <c r="E1690" s="92"/>
      <c r="F1690" s="105"/>
      <c r="I1690" s="105"/>
      <c r="J1690" s="105"/>
      <c r="K1690" s="92"/>
      <c r="M1690" s="92"/>
    </row>
    <row r="1691">
      <c r="A1691" s="103"/>
      <c r="C1691" s="92"/>
      <c r="E1691" s="92"/>
      <c r="F1691" s="105"/>
      <c r="I1691" s="105"/>
      <c r="J1691" s="105"/>
      <c r="K1691" s="92"/>
      <c r="M1691" s="92"/>
    </row>
    <row r="1692">
      <c r="A1692" s="103"/>
      <c r="C1692" s="92"/>
      <c r="E1692" s="92"/>
      <c r="F1692" s="105"/>
      <c r="I1692" s="105"/>
      <c r="J1692" s="105"/>
      <c r="K1692" s="92"/>
      <c r="M1692" s="92"/>
    </row>
    <row r="1693">
      <c r="A1693" s="103"/>
      <c r="C1693" s="92"/>
      <c r="E1693" s="92"/>
      <c r="F1693" s="105"/>
      <c r="I1693" s="105"/>
      <c r="J1693" s="105"/>
      <c r="K1693" s="92"/>
      <c r="M1693" s="92"/>
    </row>
    <row r="1694">
      <c r="A1694" s="103"/>
      <c r="C1694" s="92"/>
      <c r="E1694" s="92"/>
      <c r="F1694" s="105"/>
      <c r="I1694" s="105"/>
      <c r="J1694" s="105"/>
      <c r="K1694" s="92"/>
      <c r="M1694" s="92"/>
    </row>
    <row r="1695">
      <c r="A1695" s="103"/>
      <c r="C1695" s="92"/>
      <c r="E1695" s="92"/>
      <c r="F1695" s="105"/>
      <c r="I1695" s="105"/>
      <c r="J1695" s="105"/>
      <c r="K1695" s="92"/>
      <c r="M1695" s="92"/>
    </row>
    <row r="1696">
      <c r="A1696" s="103"/>
      <c r="C1696" s="92"/>
      <c r="E1696" s="92"/>
      <c r="F1696" s="105"/>
      <c r="I1696" s="105"/>
      <c r="J1696" s="105"/>
      <c r="K1696" s="92"/>
      <c r="M1696" s="92"/>
    </row>
    <row r="1697">
      <c r="A1697" s="103"/>
      <c r="C1697" s="92"/>
      <c r="E1697" s="92"/>
      <c r="F1697" s="105"/>
      <c r="I1697" s="105"/>
      <c r="J1697" s="105"/>
      <c r="K1697" s="92"/>
      <c r="M1697" s="92"/>
    </row>
    <row r="1698">
      <c r="A1698" s="103"/>
      <c r="C1698" s="92"/>
      <c r="E1698" s="92"/>
      <c r="F1698" s="105"/>
      <c r="I1698" s="105"/>
      <c r="J1698" s="105"/>
      <c r="K1698" s="92"/>
      <c r="M1698" s="92"/>
    </row>
    <row r="1699">
      <c r="A1699" s="103"/>
      <c r="C1699" s="92"/>
      <c r="E1699" s="92"/>
      <c r="F1699" s="105"/>
      <c r="I1699" s="105"/>
      <c r="J1699" s="105"/>
      <c r="K1699" s="92"/>
      <c r="M1699" s="92"/>
    </row>
    <row r="1700">
      <c r="A1700" s="103"/>
      <c r="C1700" s="92"/>
      <c r="E1700" s="92"/>
      <c r="F1700" s="105"/>
      <c r="I1700" s="105"/>
      <c r="J1700" s="105"/>
      <c r="K1700" s="92"/>
      <c r="M1700" s="92"/>
    </row>
    <row r="1701">
      <c r="A1701" s="103"/>
      <c r="C1701" s="92"/>
      <c r="E1701" s="92"/>
      <c r="F1701" s="105"/>
      <c r="I1701" s="105"/>
      <c r="J1701" s="105"/>
      <c r="K1701" s="92"/>
      <c r="M1701" s="92"/>
    </row>
    <row r="1702">
      <c r="A1702" s="103"/>
      <c r="C1702" s="92"/>
      <c r="E1702" s="92"/>
      <c r="F1702" s="105"/>
      <c r="I1702" s="105"/>
      <c r="J1702" s="105"/>
      <c r="K1702" s="92"/>
      <c r="M1702" s="92"/>
    </row>
    <row r="1703">
      <c r="A1703" s="103"/>
      <c r="C1703" s="92"/>
      <c r="E1703" s="92"/>
      <c r="F1703" s="105"/>
      <c r="I1703" s="105"/>
      <c r="J1703" s="105"/>
      <c r="K1703" s="92"/>
      <c r="M1703" s="92"/>
    </row>
    <row r="1704">
      <c r="A1704" s="103"/>
      <c r="C1704" s="92"/>
      <c r="E1704" s="92"/>
      <c r="F1704" s="105"/>
      <c r="I1704" s="105"/>
      <c r="J1704" s="105"/>
      <c r="K1704" s="92"/>
      <c r="M1704" s="92"/>
    </row>
    <row r="1705">
      <c r="A1705" s="103"/>
      <c r="C1705" s="92"/>
      <c r="E1705" s="92"/>
      <c r="F1705" s="105"/>
      <c r="I1705" s="105"/>
      <c r="J1705" s="105"/>
      <c r="K1705" s="92"/>
      <c r="M1705" s="92"/>
    </row>
    <row r="1706">
      <c r="A1706" s="103"/>
      <c r="C1706" s="92"/>
      <c r="E1706" s="92"/>
      <c r="F1706" s="105"/>
      <c r="I1706" s="105"/>
      <c r="J1706" s="105"/>
      <c r="K1706" s="92"/>
      <c r="M1706" s="92"/>
    </row>
    <row r="1707">
      <c r="A1707" s="103"/>
      <c r="C1707" s="92"/>
      <c r="E1707" s="92"/>
      <c r="F1707" s="105"/>
      <c r="I1707" s="105"/>
      <c r="J1707" s="105"/>
      <c r="K1707" s="92"/>
      <c r="M1707" s="92"/>
    </row>
    <row r="1708">
      <c r="A1708" s="103"/>
      <c r="C1708" s="92"/>
      <c r="E1708" s="92"/>
      <c r="F1708" s="105"/>
      <c r="I1708" s="105"/>
      <c r="J1708" s="105"/>
      <c r="K1708" s="92"/>
      <c r="M1708" s="92"/>
    </row>
    <row r="1709">
      <c r="A1709" s="103"/>
      <c r="C1709" s="92"/>
      <c r="E1709" s="92"/>
      <c r="F1709" s="105"/>
      <c r="I1709" s="105"/>
      <c r="J1709" s="105"/>
      <c r="K1709" s="92"/>
      <c r="M1709" s="92"/>
    </row>
    <row r="1710">
      <c r="A1710" s="103"/>
      <c r="C1710" s="92"/>
      <c r="E1710" s="92"/>
      <c r="F1710" s="105"/>
      <c r="I1710" s="105"/>
      <c r="J1710" s="105"/>
      <c r="K1710" s="92"/>
      <c r="M1710" s="92"/>
    </row>
    <row r="1711">
      <c r="A1711" s="103"/>
      <c r="C1711" s="92"/>
      <c r="E1711" s="92"/>
      <c r="F1711" s="105"/>
      <c r="I1711" s="105"/>
      <c r="J1711" s="105"/>
      <c r="K1711" s="92"/>
      <c r="M1711" s="92"/>
    </row>
    <row r="1712">
      <c r="A1712" s="103"/>
      <c r="C1712" s="92"/>
      <c r="E1712" s="92"/>
      <c r="F1712" s="105"/>
      <c r="I1712" s="105"/>
      <c r="J1712" s="105"/>
      <c r="K1712" s="92"/>
      <c r="M1712" s="92"/>
    </row>
    <row r="1713">
      <c r="A1713" s="103"/>
      <c r="C1713" s="92"/>
      <c r="E1713" s="92"/>
      <c r="F1713" s="105"/>
      <c r="I1713" s="105"/>
      <c r="J1713" s="105"/>
      <c r="K1713" s="92"/>
      <c r="M1713" s="92"/>
    </row>
    <row r="1714">
      <c r="A1714" s="103"/>
      <c r="C1714" s="92"/>
      <c r="E1714" s="92"/>
      <c r="F1714" s="105"/>
      <c r="I1714" s="105"/>
      <c r="J1714" s="105"/>
      <c r="K1714" s="92"/>
      <c r="M1714" s="92"/>
    </row>
    <row r="1715">
      <c r="A1715" s="103"/>
      <c r="C1715" s="92"/>
      <c r="E1715" s="92"/>
      <c r="F1715" s="105"/>
      <c r="I1715" s="105"/>
      <c r="J1715" s="105"/>
      <c r="K1715" s="92"/>
      <c r="M1715" s="92"/>
    </row>
    <row r="1716">
      <c r="A1716" s="103"/>
      <c r="C1716" s="92"/>
      <c r="E1716" s="92"/>
      <c r="F1716" s="105"/>
      <c r="I1716" s="105"/>
      <c r="J1716" s="105"/>
      <c r="K1716" s="92"/>
      <c r="M1716" s="92"/>
    </row>
    <row r="1717">
      <c r="A1717" s="103"/>
      <c r="C1717" s="92"/>
      <c r="E1717" s="92"/>
      <c r="F1717" s="105"/>
      <c r="I1717" s="105"/>
      <c r="J1717" s="105"/>
      <c r="K1717" s="92"/>
      <c r="M1717" s="92"/>
    </row>
    <row r="1718">
      <c r="A1718" s="103"/>
      <c r="C1718" s="92"/>
      <c r="E1718" s="92"/>
      <c r="F1718" s="105"/>
      <c r="I1718" s="105"/>
      <c r="J1718" s="105"/>
      <c r="K1718" s="92"/>
      <c r="M1718" s="92"/>
    </row>
    <row r="1719">
      <c r="A1719" s="103"/>
      <c r="C1719" s="92"/>
      <c r="E1719" s="92"/>
      <c r="F1719" s="105"/>
      <c r="I1719" s="105"/>
      <c r="J1719" s="105"/>
      <c r="K1719" s="92"/>
      <c r="M1719" s="92"/>
    </row>
    <row r="1720">
      <c r="A1720" s="103"/>
      <c r="C1720" s="92"/>
      <c r="E1720" s="92"/>
      <c r="F1720" s="105"/>
      <c r="I1720" s="105"/>
      <c r="J1720" s="105"/>
      <c r="K1720" s="92"/>
      <c r="M1720" s="92"/>
    </row>
    <row r="1721">
      <c r="A1721" s="103"/>
      <c r="C1721" s="92"/>
      <c r="E1721" s="92"/>
      <c r="F1721" s="105"/>
      <c r="I1721" s="105"/>
      <c r="J1721" s="105"/>
      <c r="K1721" s="92"/>
      <c r="M1721" s="92"/>
    </row>
    <row r="1722">
      <c r="A1722" s="103"/>
      <c r="C1722" s="92"/>
      <c r="E1722" s="92"/>
      <c r="F1722" s="105"/>
      <c r="I1722" s="105"/>
      <c r="J1722" s="105"/>
      <c r="K1722" s="92"/>
      <c r="M1722" s="92"/>
    </row>
    <row r="1723">
      <c r="A1723" s="103"/>
      <c r="C1723" s="92"/>
      <c r="E1723" s="92"/>
      <c r="F1723" s="105"/>
      <c r="I1723" s="105"/>
      <c r="J1723" s="105"/>
      <c r="K1723" s="92"/>
      <c r="M1723" s="92"/>
    </row>
    <row r="1724">
      <c r="A1724" s="103"/>
      <c r="C1724" s="92"/>
      <c r="E1724" s="92"/>
      <c r="F1724" s="105"/>
      <c r="I1724" s="105"/>
      <c r="J1724" s="105"/>
      <c r="K1724" s="92"/>
      <c r="M1724" s="92"/>
    </row>
    <row r="1725">
      <c r="A1725" s="103"/>
      <c r="C1725" s="92"/>
      <c r="E1725" s="92"/>
      <c r="F1725" s="105"/>
      <c r="I1725" s="105"/>
      <c r="J1725" s="105"/>
      <c r="K1725" s="92"/>
      <c r="M1725" s="92"/>
    </row>
    <row r="1726">
      <c r="A1726" s="103"/>
      <c r="C1726" s="92"/>
      <c r="E1726" s="92"/>
      <c r="F1726" s="105"/>
      <c r="I1726" s="105"/>
      <c r="J1726" s="105"/>
      <c r="K1726" s="92"/>
      <c r="M1726" s="92"/>
    </row>
    <row r="1727">
      <c r="A1727" s="103"/>
      <c r="C1727" s="92"/>
      <c r="E1727" s="92"/>
      <c r="F1727" s="105"/>
      <c r="I1727" s="105"/>
      <c r="J1727" s="105"/>
      <c r="K1727" s="92"/>
      <c r="M1727" s="92"/>
    </row>
    <row r="1728">
      <c r="A1728" s="103"/>
      <c r="C1728" s="92"/>
      <c r="E1728" s="92"/>
      <c r="F1728" s="105"/>
      <c r="I1728" s="105"/>
      <c r="J1728" s="105"/>
      <c r="K1728" s="92"/>
      <c r="M1728" s="92"/>
    </row>
    <row r="1729">
      <c r="A1729" s="103"/>
      <c r="C1729" s="92"/>
      <c r="E1729" s="92"/>
      <c r="F1729" s="105"/>
      <c r="I1729" s="105"/>
      <c r="J1729" s="105"/>
      <c r="K1729" s="92"/>
      <c r="M1729" s="92"/>
    </row>
    <row r="1730">
      <c r="A1730" s="103"/>
      <c r="C1730" s="92"/>
      <c r="E1730" s="92"/>
      <c r="F1730" s="105"/>
      <c r="I1730" s="105"/>
      <c r="J1730" s="105"/>
      <c r="K1730" s="92"/>
      <c r="M1730" s="92"/>
    </row>
    <row r="1731">
      <c r="A1731" s="103"/>
      <c r="C1731" s="92"/>
      <c r="E1731" s="92"/>
      <c r="F1731" s="105"/>
      <c r="I1731" s="105"/>
      <c r="J1731" s="105"/>
      <c r="K1731" s="92"/>
      <c r="M1731" s="92"/>
    </row>
    <row r="1732">
      <c r="A1732" s="103"/>
      <c r="C1732" s="92"/>
      <c r="E1732" s="92"/>
      <c r="F1732" s="105"/>
      <c r="I1732" s="105"/>
      <c r="J1732" s="105"/>
      <c r="K1732" s="92"/>
      <c r="M1732" s="92"/>
    </row>
    <row r="1733">
      <c r="A1733" s="103"/>
      <c r="C1733" s="92"/>
      <c r="E1733" s="92"/>
      <c r="F1733" s="105"/>
      <c r="I1733" s="105"/>
      <c r="J1733" s="105"/>
      <c r="K1733" s="92"/>
      <c r="M1733" s="92"/>
    </row>
    <row r="1734">
      <c r="A1734" s="103"/>
      <c r="C1734" s="92"/>
      <c r="E1734" s="92"/>
      <c r="F1734" s="105"/>
      <c r="I1734" s="105"/>
      <c r="J1734" s="105"/>
      <c r="K1734" s="92"/>
      <c r="M1734" s="92"/>
    </row>
    <row r="1735">
      <c r="A1735" s="103"/>
      <c r="C1735" s="92"/>
      <c r="E1735" s="92"/>
      <c r="F1735" s="105"/>
      <c r="I1735" s="105"/>
      <c r="J1735" s="105"/>
      <c r="K1735" s="92"/>
      <c r="M1735" s="92"/>
    </row>
    <row r="1736">
      <c r="A1736" s="103"/>
      <c r="C1736" s="92"/>
      <c r="E1736" s="92"/>
      <c r="F1736" s="105"/>
      <c r="I1736" s="105"/>
      <c r="J1736" s="105"/>
      <c r="K1736" s="92"/>
      <c r="M1736" s="92"/>
    </row>
    <row r="1737">
      <c r="A1737" s="103"/>
      <c r="C1737" s="92"/>
      <c r="E1737" s="92"/>
      <c r="F1737" s="105"/>
      <c r="I1737" s="105"/>
      <c r="J1737" s="105"/>
      <c r="K1737" s="92"/>
      <c r="M1737" s="92"/>
    </row>
    <row r="1738">
      <c r="A1738" s="103"/>
      <c r="C1738" s="92"/>
      <c r="E1738" s="92"/>
      <c r="F1738" s="105"/>
      <c r="I1738" s="105"/>
      <c r="J1738" s="105"/>
      <c r="K1738" s="92"/>
      <c r="M1738" s="92"/>
    </row>
    <row r="1739">
      <c r="A1739" s="103"/>
      <c r="C1739" s="92"/>
      <c r="E1739" s="92"/>
      <c r="F1739" s="105"/>
      <c r="I1739" s="105"/>
      <c r="J1739" s="105"/>
      <c r="K1739" s="92"/>
      <c r="M1739" s="92"/>
    </row>
    <row r="1740">
      <c r="A1740" s="103"/>
      <c r="C1740" s="92"/>
      <c r="E1740" s="92"/>
      <c r="F1740" s="105"/>
      <c r="I1740" s="105"/>
      <c r="J1740" s="105"/>
      <c r="K1740" s="92"/>
      <c r="M1740" s="92"/>
    </row>
    <row r="1741">
      <c r="A1741" s="103"/>
      <c r="C1741" s="92"/>
      <c r="E1741" s="92"/>
      <c r="F1741" s="105"/>
      <c r="I1741" s="105"/>
      <c r="J1741" s="105"/>
      <c r="K1741" s="92"/>
      <c r="M1741" s="92"/>
    </row>
    <row r="1742">
      <c r="A1742" s="103"/>
      <c r="C1742" s="92"/>
      <c r="E1742" s="92"/>
      <c r="F1742" s="105"/>
      <c r="I1742" s="105"/>
      <c r="J1742" s="105"/>
      <c r="K1742" s="92"/>
      <c r="M1742" s="92"/>
    </row>
    <row r="1743">
      <c r="A1743" s="103"/>
      <c r="C1743" s="92"/>
      <c r="E1743" s="92"/>
      <c r="F1743" s="105"/>
      <c r="I1743" s="105"/>
      <c r="J1743" s="105"/>
      <c r="K1743" s="92"/>
      <c r="M1743" s="92"/>
    </row>
    <row r="1744">
      <c r="A1744" s="103"/>
      <c r="C1744" s="92"/>
      <c r="E1744" s="92"/>
      <c r="F1744" s="105"/>
      <c r="I1744" s="105"/>
      <c r="J1744" s="105"/>
      <c r="K1744" s="92"/>
      <c r="M1744" s="92"/>
    </row>
    <row r="1745">
      <c r="A1745" s="103"/>
      <c r="C1745" s="92"/>
      <c r="E1745" s="92"/>
      <c r="F1745" s="105"/>
      <c r="I1745" s="105"/>
      <c r="J1745" s="105"/>
      <c r="K1745" s="92"/>
      <c r="M1745" s="92"/>
    </row>
    <row r="1746">
      <c r="A1746" s="103"/>
      <c r="C1746" s="92"/>
      <c r="E1746" s="92"/>
      <c r="F1746" s="105"/>
      <c r="I1746" s="105"/>
      <c r="J1746" s="105"/>
      <c r="K1746" s="92"/>
      <c r="M1746" s="92"/>
    </row>
    <row r="1747">
      <c r="A1747" s="103"/>
      <c r="C1747" s="92"/>
      <c r="E1747" s="92"/>
      <c r="F1747" s="105"/>
      <c r="I1747" s="105"/>
      <c r="J1747" s="105"/>
      <c r="K1747" s="92"/>
      <c r="M1747" s="92"/>
    </row>
    <row r="1748">
      <c r="A1748" s="103"/>
      <c r="C1748" s="92"/>
      <c r="E1748" s="92"/>
      <c r="F1748" s="105"/>
      <c r="I1748" s="105"/>
      <c r="J1748" s="105"/>
      <c r="K1748" s="92"/>
      <c r="M1748" s="92"/>
    </row>
    <row r="1749">
      <c r="A1749" s="103"/>
      <c r="C1749" s="92"/>
      <c r="E1749" s="92"/>
      <c r="F1749" s="105"/>
      <c r="I1749" s="105"/>
      <c r="J1749" s="105"/>
      <c r="K1749" s="92"/>
      <c r="M1749" s="92"/>
    </row>
    <row r="1750">
      <c r="A1750" s="103"/>
      <c r="C1750" s="92"/>
      <c r="E1750" s="92"/>
      <c r="F1750" s="105"/>
      <c r="I1750" s="105"/>
      <c r="J1750" s="105"/>
      <c r="K1750" s="92"/>
      <c r="M1750" s="92"/>
    </row>
    <row r="1751">
      <c r="A1751" s="103"/>
      <c r="C1751" s="92"/>
      <c r="E1751" s="92"/>
      <c r="F1751" s="105"/>
      <c r="I1751" s="105"/>
      <c r="J1751" s="105"/>
      <c r="K1751" s="92"/>
      <c r="M1751" s="92"/>
    </row>
    <row r="1752">
      <c r="A1752" s="103"/>
      <c r="C1752" s="92"/>
      <c r="E1752" s="92"/>
      <c r="F1752" s="105"/>
      <c r="I1752" s="105"/>
      <c r="J1752" s="105"/>
      <c r="K1752" s="92"/>
      <c r="M1752" s="92"/>
    </row>
    <row r="1753">
      <c r="A1753" s="103"/>
      <c r="C1753" s="92"/>
      <c r="E1753" s="92"/>
      <c r="F1753" s="105"/>
      <c r="I1753" s="105"/>
      <c r="J1753" s="105"/>
      <c r="K1753" s="92"/>
      <c r="M1753" s="92"/>
    </row>
    <row r="1754">
      <c r="A1754" s="103"/>
      <c r="C1754" s="92"/>
      <c r="E1754" s="92"/>
      <c r="F1754" s="105"/>
      <c r="I1754" s="105"/>
      <c r="J1754" s="105"/>
      <c r="K1754" s="92"/>
      <c r="M1754" s="92"/>
    </row>
    <row r="1755">
      <c r="A1755" s="103"/>
      <c r="C1755" s="92"/>
      <c r="E1755" s="92"/>
      <c r="F1755" s="105"/>
      <c r="I1755" s="105"/>
      <c r="J1755" s="105"/>
      <c r="K1755" s="92"/>
      <c r="M1755" s="92"/>
    </row>
    <row r="1756">
      <c r="A1756" s="103"/>
      <c r="C1756" s="92"/>
      <c r="E1756" s="92"/>
      <c r="F1756" s="105"/>
      <c r="I1756" s="105"/>
      <c r="J1756" s="105"/>
      <c r="K1756" s="92"/>
      <c r="M1756" s="92"/>
    </row>
    <row r="1757">
      <c r="A1757" s="103"/>
      <c r="C1757" s="92"/>
      <c r="E1757" s="92"/>
      <c r="F1757" s="105"/>
      <c r="I1757" s="105"/>
      <c r="J1757" s="105"/>
      <c r="K1757" s="92"/>
      <c r="M1757" s="92"/>
    </row>
    <row r="1758">
      <c r="A1758" s="103"/>
      <c r="C1758" s="92"/>
      <c r="E1758" s="92"/>
      <c r="F1758" s="105"/>
      <c r="I1758" s="105"/>
      <c r="J1758" s="105"/>
      <c r="K1758" s="92"/>
      <c r="M1758" s="92"/>
    </row>
    <row r="1759">
      <c r="A1759" s="103"/>
      <c r="C1759" s="92"/>
      <c r="E1759" s="92"/>
      <c r="F1759" s="105"/>
      <c r="I1759" s="105"/>
      <c r="J1759" s="105"/>
      <c r="K1759" s="92"/>
      <c r="M1759" s="92"/>
    </row>
    <row r="1760">
      <c r="A1760" s="103"/>
      <c r="C1760" s="92"/>
      <c r="E1760" s="92"/>
      <c r="F1760" s="105"/>
      <c r="I1760" s="105"/>
      <c r="J1760" s="105"/>
      <c r="K1760" s="92"/>
      <c r="M1760" s="92"/>
    </row>
    <row r="1761">
      <c r="A1761" s="103"/>
      <c r="C1761" s="92"/>
      <c r="E1761" s="92"/>
      <c r="F1761" s="105"/>
      <c r="I1761" s="105"/>
      <c r="J1761" s="105"/>
      <c r="K1761" s="92"/>
      <c r="M1761" s="92"/>
    </row>
    <row r="1762">
      <c r="A1762" s="103"/>
      <c r="C1762" s="92"/>
      <c r="E1762" s="92"/>
      <c r="F1762" s="105"/>
      <c r="I1762" s="105"/>
      <c r="J1762" s="105"/>
      <c r="K1762" s="92"/>
      <c r="M1762" s="92"/>
    </row>
    <row r="1763">
      <c r="A1763" s="103"/>
      <c r="C1763" s="92"/>
      <c r="E1763" s="92"/>
      <c r="F1763" s="105"/>
      <c r="I1763" s="105"/>
      <c r="J1763" s="105"/>
      <c r="K1763" s="92"/>
      <c r="M1763" s="92"/>
    </row>
    <row r="1764">
      <c r="A1764" s="103"/>
      <c r="C1764" s="92"/>
      <c r="E1764" s="92"/>
      <c r="F1764" s="105"/>
      <c r="I1764" s="105"/>
      <c r="J1764" s="105"/>
      <c r="K1764" s="92"/>
      <c r="M1764" s="92"/>
    </row>
    <row r="1765">
      <c r="A1765" s="103"/>
      <c r="C1765" s="92"/>
      <c r="E1765" s="92"/>
      <c r="F1765" s="105"/>
      <c r="I1765" s="105"/>
      <c r="J1765" s="105"/>
      <c r="K1765" s="92"/>
      <c r="M1765" s="92"/>
    </row>
    <row r="1766">
      <c r="A1766" s="103"/>
      <c r="C1766" s="92"/>
      <c r="E1766" s="92"/>
      <c r="F1766" s="105"/>
      <c r="I1766" s="105"/>
      <c r="J1766" s="105"/>
      <c r="K1766" s="92"/>
      <c r="M1766" s="92"/>
    </row>
    <row r="1767">
      <c r="A1767" s="103"/>
      <c r="C1767" s="92"/>
      <c r="E1767" s="92"/>
      <c r="F1767" s="105"/>
      <c r="I1767" s="105"/>
      <c r="J1767" s="105"/>
      <c r="K1767" s="92"/>
      <c r="M1767" s="92"/>
    </row>
    <row r="1768">
      <c r="A1768" s="103"/>
      <c r="C1768" s="92"/>
      <c r="E1768" s="92"/>
      <c r="F1768" s="105"/>
      <c r="I1768" s="105"/>
      <c r="J1768" s="105"/>
      <c r="K1768" s="92"/>
      <c r="M1768" s="92"/>
    </row>
    <row r="1769">
      <c r="A1769" s="103"/>
      <c r="C1769" s="92"/>
      <c r="E1769" s="92"/>
      <c r="F1769" s="105"/>
      <c r="I1769" s="105"/>
      <c r="J1769" s="105"/>
      <c r="K1769" s="92"/>
      <c r="M1769" s="92"/>
    </row>
    <row r="1770">
      <c r="A1770" s="103"/>
      <c r="C1770" s="92"/>
      <c r="E1770" s="92"/>
      <c r="F1770" s="105"/>
      <c r="I1770" s="105"/>
      <c r="J1770" s="105"/>
      <c r="K1770" s="92"/>
      <c r="M1770" s="92"/>
    </row>
    <row r="1771">
      <c r="A1771" s="103"/>
      <c r="C1771" s="92"/>
      <c r="E1771" s="92"/>
      <c r="F1771" s="105"/>
      <c r="I1771" s="105"/>
      <c r="J1771" s="105"/>
      <c r="K1771" s="92"/>
      <c r="M1771" s="92"/>
    </row>
    <row r="1772">
      <c r="A1772" s="103"/>
      <c r="C1772" s="92"/>
      <c r="E1772" s="92"/>
      <c r="F1772" s="105"/>
      <c r="I1772" s="105"/>
      <c r="J1772" s="105"/>
      <c r="K1772" s="92"/>
      <c r="M1772" s="92"/>
    </row>
    <row r="1773">
      <c r="A1773" s="103"/>
      <c r="C1773" s="92"/>
      <c r="E1773" s="92"/>
      <c r="F1773" s="105"/>
      <c r="I1773" s="105"/>
      <c r="J1773" s="105"/>
      <c r="K1773" s="92"/>
      <c r="M1773" s="92"/>
    </row>
    <row r="1774">
      <c r="A1774" s="103"/>
      <c r="C1774" s="92"/>
      <c r="E1774" s="92"/>
      <c r="F1774" s="105"/>
      <c r="I1774" s="105"/>
      <c r="J1774" s="105"/>
      <c r="K1774" s="92"/>
      <c r="M1774" s="92"/>
    </row>
    <row r="1775">
      <c r="A1775" s="103"/>
      <c r="C1775" s="92"/>
      <c r="E1775" s="92"/>
      <c r="F1775" s="105"/>
      <c r="I1775" s="105"/>
      <c r="J1775" s="105"/>
      <c r="K1775" s="92"/>
      <c r="M1775" s="92"/>
    </row>
    <row r="1776">
      <c r="A1776" s="103"/>
      <c r="C1776" s="92"/>
      <c r="E1776" s="92"/>
      <c r="F1776" s="105"/>
      <c r="I1776" s="105"/>
      <c r="J1776" s="105"/>
      <c r="K1776" s="92"/>
      <c r="M1776" s="92"/>
    </row>
    <row r="1777">
      <c r="A1777" s="103"/>
      <c r="C1777" s="92"/>
      <c r="E1777" s="92"/>
      <c r="F1777" s="105"/>
      <c r="I1777" s="105"/>
      <c r="J1777" s="105"/>
      <c r="K1777" s="92"/>
      <c r="M1777" s="92"/>
    </row>
    <row r="1778">
      <c r="A1778" s="103"/>
      <c r="C1778" s="92"/>
      <c r="E1778" s="92"/>
      <c r="F1778" s="105"/>
      <c r="I1778" s="105"/>
      <c r="J1778" s="105"/>
      <c r="K1778" s="92"/>
      <c r="M1778" s="92"/>
    </row>
    <row r="1779">
      <c r="A1779" s="103"/>
      <c r="C1779" s="92"/>
      <c r="E1779" s="92"/>
      <c r="F1779" s="105"/>
      <c r="I1779" s="105"/>
      <c r="J1779" s="105"/>
      <c r="K1779" s="92"/>
      <c r="M1779" s="92"/>
    </row>
    <row r="1780">
      <c r="A1780" s="103"/>
      <c r="C1780" s="92"/>
      <c r="E1780" s="92"/>
      <c r="F1780" s="105"/>
      <c r="I1780" s="105"/>
      <c r="J1780" s="105"/>
      <c r="K1780" s="92"/>
      <c r="M1780" s="92"/>
    </row>
    <row r="1781">
      <c r="A1781" s="103"/>
      <c r="C1781" s="92"/>
      <c r="E1781" s="92"/>
      <c r="F1781" s="105"/>
      <c r="I1781" s="105"/>
      <c r="J1781" s="105"/>
      <c r="K1781" s="92"/>
      <c r="M1781" s="92"/>
    </row>
    <row r="1782">
      <c r="A1782" s="103"/>
      <c r="C1782" s="92"/>
      <c r="E1782" s="92"/>
      <c r="F1782" s="105"/>
      <c r="I1782" s="105"/>
      <c r="J1782" s="105"/>
      <c r="K1782" s="92"/>
      <c r="M1782" s="92"/>
    </row>
    <row r="1783">
      <c r="A1783" s="103"/>
      <c r="C1783" s="92"/>
      <c r="E1783" s="92"/>
      <c r="F1783" s="105"/>
      <c r="I1783" s="105"/>
      <c r="J1783" s="105"/>
      <c r="K1783" s="92"/>
      <c r="M1783" s="92"/>
    </row>
    <row r="1784">
      <c r="A1784" s="103"/>
      <c r="C1784" s="92"/>
      <c r="E1784" s="92"/>
      <c r="F1784" s="105"/>
      <c r="I1784" s="105"/>
      <c r="J1784" s="105"/>
      <c r="K1784" s="92"/>
      <c r="M1784" s="92"/>
    </row>
    <row r="1785">
      <c r="A1785" s="103"/>
      <c r="C1785" s="92"/>
      <c r="E1785" s="92"/>
      <c r="F1785" s="105"/>
      <c r="I1785" s="105"/>
      <c r="J1785" s="105"/>
      <c r="K1785" s="92"/>
      <c r="M1785" s="92"/>
    </row>
    <row r="1786">
      <c r="A1786" s="103"/>
      <c r="C1786" s="92"/>
      <c r="E1786" s="92"/>
      <c r="F1786" s="105"/>
      <c r="I1786" s="105"/>
      <c r="J1786" s="105"/>
      <c r="K1786" s="92"/>
      <c r="M1786" s="92"/>
    </row>
    <row r="1787">
      <c r="A1787" s="103"/>
      <c r="C1787" s="92"/>
      <c r="E1787" s="92"/>
      <c r="F1787" s="105"/>
      <c r="I1787" s="105"/>
      <c r="J1787" s="105"/>
      <c r="K1787" s="92"/>
      <c r="M1787" s="92"/>
    </row>
    <row r="1788">
      <c r="A1788" s="103"/>
      <c r="C1788" s="92"/>
      <c r="E1788" s="92"/>
      <c r="F1788" s="105"/>
      <c r="I1788" s="105"/>
      <c r="J1788" s="105"/>
      <c r="K1788" s="92"/>
      <c r="M1788" s="92"/>
    </row>
    <row r="1789">
      <c r="A1789" s="103"/>
      <c r="C1789" s="92"/>
      <c r="E1789" s="92"/>
      <c r="F1789" s="105"/>
      <c r="I1789" s="105"/>
      <c r="J1789" s="105"/>
      <c r="K1789" s="92"/>
      <c r="M1789" s="92"/>
    </row>
    <row r="1790">
      <c r="A1790" s="103"/>
      <c r="C1790" s="92"/>
      <c r="E1790" s="92"/>
      <c r="F1790" s="105"/>
      <c r="I1790" s="105"/>
      <c r="J1790" s="105"/>
      <c r="K1790" s="92"/>
      <c r="M1790" s="92"/>
    </row>
    <row r="1791">
      <c r="A1791" s="103"/>
      <c r="C1791" s="92"/>
      <c r="E1791" s="92"/>
      <c r="F1791" s="105"/>
      <c r="I1791" s="105"/>
      <c r="J1791" s="105"/>
      <c r="K1791" s="92"/>
      <c r="M1791" s="92"/>
    </row>
    <row r="1792">
      <c r="A1792" s="103"/>
      <c r="C1792" s="92"/>
      <c r="E1792" s="92"/>
      <c r="F1792" s="105"/>
      <c r="I1792" s="105"/>
      <c r="J1792" s="105"/>
      <c r="K1792" s="92"/>
      <c r="M1792" s="92"/>
    </row>
    <row r="1793">
      <c r="A1793" s="103"/>
      <c r="C1793" s="92"/>
      <c r="E1793" s="92"/>
      <c r="F1793" s="105"/>
      <c r="I1793" s="105"/>
      <c r="J1793" s="105"/>
      <c r="K1793" s="92"/>
      <c r="M1793" s="92"/>
    </row>
    <row r="1794">
      <c r="A1794" s="103"/>
      <c r="C1794" s="92"/>
      <c r="E1794" s="92"/>
      <c r="F1794" s="105"/>
      <c r="I1794" s="105"/>
      <c r="J1794" s="105"/>
      <c r="K1794" s="92"/>
      <c r="M1794" s="92"/>
    </row>
    <row r="1795">
      <c r="A1795" s="103"/>
      <c r="C1795" s="92"/>
      <c r="E1795" s="92"/>
      <c r="F1795" s="105"/>
      <c r="I1795" s="105"/>
      <c r="J1795" s="105"/>
      <c r="K1795" s="92"/>
      <c r="M1795" s="92"/>
    </row>
    <row r="1796">
      <c r="A1796" s="103"/>
      <c r="C1796" s="92"/>
      <c r="E1796" s="92"/>
      <c r="F1796" s="105"/>
      <c r="I1796" s="105"/>
      <c r="J1796" s="105"/>
      <c r="K1796" s="92"/>
      <c r="M1796" s="92"/>
    </row>
    <row r="1797">
      <c r="A1797" s="103"/>
      <c r="C1797" s="92"/>
      <c r="E1797" s="92"/>
      <c r="F1797" s="105"/>
      <c r="I1797" s="105"/>
      <c r="J1797" s="105"/>
      <c r="K1797" s="92"/>
      <c r="M1797" s="92"/>
    </row>
    <row r="1798">
      <c r="A1798" s="103"/>
      <c r="C1798" s="92"/>
      <c r="E1798" s="92"/>
      <c r="F1798" s="105"/>
      <c r="I1798" s="105"/>
      <c r="J1798" s="105"/>
      <c r="K1798" s="92"/>
      <c r="M1798" s="92"/>
    </row>
    <row r="1799">
      <c r="A1799" s="103"/>
      <c r="C1799" s="92"/>
      <c r="E1799" s="92"/>
      <c r="F1799" s="105"/>
      <c r="I1799" s="105"/>
      <c r="J1799" s="105"/>
      <c r="K1799" s="92"/>
      <c r="M1799" s="92"/>
    </row>
    <row r="1800">
      <c r="A1800" s="103"/>
      <c r="C1800" s="92"/>
      <c r="E1800" s="92"/>
      <c r="F1800" s="105"/>
      <c r="I1800" s="105"/>
      <c r="J1800" s="105"/>
      <c r="K1800" s="92"/>
      <c r="M1800" s="92"/>
    </row>
    <row r="1801">
      <c r="A1801" s="103"/>
      <c r="C1801" s="92"/>
      <c r="E1801" s="92"/>
      <c r="F1801" s="105"/>
      <c r="I1801" s="105"/>
      <c r="J1801" s="105"/>
      <c r="K1801" s="92"/>
      <c r="M1801" s="92"/>
    </row>
    <row r="1802">
      <c r="A1802" s="103"/>
      <c r="C1802" s="92"/>
      <c r="E1802" s="92"/>
      <c r="F1802" s="105"/>
      <c r="I1802" s="105"/>
      <c r="J1802" s="105"/>
      <c r="K1802" s="92"/>
      <c r="M1802" s="92"/>
    </row>
    <row r="1803">
      <c r="A1803" s="103"/>
      <c r="C1803" s="92"/>
      <c r="E1803" s="92"/>
      <c r="F1803" s="105"/>
      <c r="I1803" s="105"/>
      <c r="J1803" s="105"/>
      <c r="K1803" s="92"/>
      <c r="M1803" s="92"/>
    </row>
    <row r="1804">
      <c r="A1804" s="103"/>
      <c r="C1804" s="92"/>
      <c r="E1804" s="92"/>
      <c r="F1804" s="105"/>
      <c r="I1804" s="105"/>
      <c r="J1804" s="105"/>
      <c r="K1804" s="92"/>
      <c r="M1804" s="92"/>
    </row>
    <row r="1805">
      <c r="A1805" s="103"/>
      <c r="C1805" s="92"/>
      <c r="E1805" s="92"/>
      <c r="F1805" s="105"/>
      <c r="I1805" s="105"/>
      <c r="J1805" s="105"/>
      <c r="K1805" s="92"/>
      <c r="M1805" s="92"/>
    </row>
    <row r="1806">
      <c r="A1806" s="103"/>
      <c r="C1806" s="92"/>
      <c r="E1806" s="92"/>
      <c r="F1806" s="105"/>
      <c r="I1806" s="105"/>
      <c r="J1806" s="105"/>
      <c r="K1806" s="92"/>
      <c r="M1806" s="92"/>
    </row>
    <row r="1807">
      <c r="A1807" s="103"/>
      <c r="C1807" s="92"/>
      <c r="E1807" s="92"/>
      <c r="F1807" s="105"/>
      <c r="I1807" s="105"/>
      <c r="J1807" s="105"/>
      <c r="K1807" s="92"/>
      <c r="M1807" s="92"/>
    </row>
    <row r="1808">
      <c r="A1808" s="103"/>
      <c r="C1808" s="92"/>
      <c r="E1808" s="92"/>
      <c r="F1808" s="105"/>
      <c r="I1808" s="105"/>
      <c r="J1808" s="105"/>
      <c r="K1808" s="92"/>
      <c r="M1808" s="92"/>
    </row>
    <row r="1809">
      <c r="A1809" s="103"/>
      <c r="C1809" s="92"/>
      <c r="E1809" s="92"/>
      <c r="F1809" s="105"/>
      <c r="I1809" s="105"/>
      <c r="J1809" s="105"/>
      <c r="K1809" s="92"/>
      <c r="M1809" s="92"/>
    </row>
    <row r="1810">
      <c r="A1810" s="103"/>
      <c r="C1810" s="92"/>
      <c r="E1810" s="92"/>
      <c r="F1810" s="105"/>
      <c r="I1810" s="105"/>
      <c r="J1810" s="105"/>
      <c r="K1810" s="92"/>
      <c r="M1810" s="92"/>
    </row>
    <row r="1811">
      <c r="A1811" s="103"/>
      <c r="C1811" s="92"/>
      <c r="E1811" s="92"/>
      <c r="F1811" s="105"/>
      <c r="I1811" s="105"/>
      <c r="J1811" s="105"/>
      <c r="K1811" s="92"/>
      <c r="M1811" s="92"/>
    </row>
    <row r="1812">
      <c r="A1812" s="103"/>
      <c r="C1812" s="92"/>
      <c r="E1812" s="92"/>
      <c r="F1812" s="105"/>
      <c r="I1812" s="105"/>
      <c r="J1812" s="105"/>
      <c r="K1812" s="92"/>
      <c r="M1812" s="92"/>
    </row>
    <row r="1813">
      <c r="A1813" s="103"/>
      <c r="C1813" s="92"/>
      <c r="E1813" s="92"/>
      <c r="F1813" s="105"/>
      <c r="I1813" s="105"/>
      <c r="J1813" s="105"/>
      <c r="K1813" s="92"/>
      <c r="M1813" s="92"/>
    </row>
    <row r="1814">
      <c r="A1814" s="103"/>
      <c r="C1814" s="92"/>
      <c r="E1814" s="92"/>
      <c r="F1814" s="105"/>
      <c r="I1814" s="105"/>
      <c r="J1814" s="105"/>
      <c r="K1814" s="92"/>
      <c r="M1814" s="92"/>
    </row>
    <row r="1815">
      <c r="A1815" s="103"/>
      <c r="C1815" s="92"/>
      <c r="E1815" s="92"/>
      <c r="F1815" s="105"/>
      <c r="I1815" s="105"/>
      <c r="J1815" s="105"/>
      <c r="K1815" s="92"/>
      <c r="M1815" s="92"/>
    </row>
    <row r="1816">
      <c r="A1816" s="103"/>
      <c r="C1816" s="92"/>
      <c r="E1816" s="92"/>
      <c r="F1816" s="105"/>
      <c r="I1816" s="105"/>
      <c r="J1816" s="105"/>
      <c r="K1816" s="92"/>
      <c r="M1816" s="92"/>
    </row>
    <row r="1817">
      <c r="A1817" s="103"/>
      <c r="C1817" s="92"/>
      <c r="E1817" s="92"/>
      <c r="F1817" s="105"/>
      <c r="I1817" s="105"/>
      <c r="J1817" s="105"/>
      <c r="K1817" s="92"/>
      <c r="M1817" s="92"/>
    </row>
    <row r="1818">
      <c r="A1818" s="103"/>
      <c r="C1818" s="92"/>
      <c r="E1818" s="92"/>
      <c r="F1818" s="105"/>
      <c r="I1818" s="105"/>
      <c r="J1818" s="105"/>
      <c r="K1818" s="92"/>
      <c r="M1818" s="92"/>
    </row>
    <row r="1819">
      <c r="A1819" s="103"/>
      <c r="C1819" s="92"/>
      <c r="E1819" s="92"/>
      <c r="F1819" s="105"/>
      <c r="I1819" s="105"/>
      <c r="J1819" s="105"/>
      <c r="K1819" s="92"/>
      <c r="M1819" s="92"/>
    </row>
    <row r="1820">
      <c r="A1820" s="103"/>
      <c r="C1820" s="92"/>
      <c r="E1820" s="92"/>
      <c r="F1820" s="105"/>
      <c r="I1820" s="105"/>
      <c r="J1820" s="105"/>
      <c r="K1820" s="92"/>
      <c r="M1820" s="92"/>
    </row>
    <row r="1821">
      <c r="A1821" s="103"/>
      <c r="C1821" s="92"/>
      <c r="E1821" s="92"/>
      <c r="F1821" s="105"/>
      <c r="I1821" s="105"/>
      <c r="J1821" s="105"/>
      <c r="K1821" s="92"/>
      <c r="M1821" s="92"/>
    </row>
    <row r="1822">
      <c r="A1822" s="103"/>
      <c r="C1822" s="92"/>
      <c r="E1822" s="92"/>
      <c r="F1822" s="105"/>
      <c r="I1822" s="105"/>
      <c r="J1822" s="105"/>
      <c r="K1822" s="92"/>
      <c r="M1822" s="92"/>
    </row>
    <row r="1823">
      <c r="A1823" s="103"/>
      <c r="C1823" s="92"/>
      <c r="E1823" s="92"/>
      <c r="F1823" s="105"/>
      <c r="I1823" s="105"/>
      <c r="J1823" s="105"/>
      <c r="K1823" s="92"/>
      <c r="M1823" s="92"/>
    </row>
    <row r="1824">
      <c r="A1824" s="103"/>
      <c r="C1824" s="92"/>
      <c r="E1824" s="92"/>
      <c r="F1824" s="105"/>
      <c r="I1824" s="105"/>
      <c r="J1824" s="105"/>
      <c r="K1824" s="92"/>
      <c r="M1824" s="92"/>
    </row>
    <row r="1825">
      <c r="A1825" s="103"/>
      <c r="C1825" s="92"/>
      <c r="E1825" s="92"/>
      <c r="F1825" s="105"/>
      <c r="I1825" s="105"/>
      <c r="J1825" s="105"/>
      <c r="K1825" s="92"/>
      <c r="M1825" s="92"/>
    </row>
    <row r="1826">
      <c r="A1826" s="103"/>
      <c r="C1826" s="92"/>
      <c r="E1826" s="92"/>
      <c r="F1826" s="105"/>
      <c r="I1826" s="105"/>
      <c r="J1826" s="105"/>
      <c r="K1826" s="92"/>
      <c r="M1826" s="92"/>
    </row>
    <row r="1827">
      <c r="A1827" s="103"/>
      <c r="C1827" s="92"/>
      <c r="E1827" s="92"/>
      <c r="F1827" s="105"/>
      <c r="I1827" s="105"/>
      <c r="J1827" s="105"/>
      <c r="K1827" s="92"/>
      <c r="M1827" s="92"/>
    </row>
    <row r="1828">
      <c r="A1828" s="103"/>
      <c r="C1828" s="92"/>
      <c r="E1828" s="92"/>
      <c r="F1828" s="105"/>
      <c r="I1828" s="105"/>
      <c r="J1828" s="105"/>
      <c r="K1828" s="92"/>
      <c r="M1828" s="92"/>
    </row>
    <row r="1829">
      <c r="A1829" s="103"/>
      <c r="C1829" s="92"/>
      <c r="E1829" s="92"/>
      <c r="F1829" s="105"/>
      <c r="I1829" s="105"/>
      <c r="J1829" s="105"/>
      <c r="K1829" s="92"/>
      <c r="M1829" s="92"/>
    </row>
    <row r="1830">
      <c r="A1830" s="103"/>
      <c r="C1830" s="92"/>
      <c r="E1830" s="92"/>
      <c r="F1830" s="105"/>
      <c r="I1830" s="105"/>
      <c r="J1830" s="105"/>
      <c r="K1830" s="92"/>
      <c r="M1830" s="92"/>
    </row>
    <row r="1831">
      <c r="A1831" s="103"/>
      <c r="C1831" s="92"/>
      <c r="E1831" s="92"/>
      <c r="F1831" s="105"/>
      <c r="I1831" s="105"/>
      <c r="J1831" s="105"/>
      <c r="K1831" s="92"/>
      <c r="M1831" s="92"/>
    </row>
    <row r="1832">
      <c r="A1832" s="103"/>
      <c r="C1832" s="92"/>
      <c r="E1832" s="92"/>
      <c r="F1832" s="105"/>
      <c r="I1832" s="105"/>
      <c r="J1832" s="105"/>
      <c r="K1832" s="92"/>
      <c r="M1832" s="92"/>
    </row>
    <row r="1833">
      <c r="A1833" s="103"/>
      <c r="C1833" s="92"/>
      <c r="E1833" s="92"/>
      <c r="F1833" s="105"/>
      <c r="I1833" s="105"/>
      <c r="J1833" s="105"/>
      <c r="K1833" s="92"/>
      <c r="M1833" s="92"/>
    </row>
    <row r="1834">
      <c r="A1834" s="103"/>
      <c r="C1834" s="92"/>
      <c r="E1834" s="92"/>
      <c r="F1834" s="105"/>
      <c r="I1834" s="105"/>
      <c r="J1834" s="105"/>
      <c r="K1834" s="92"/>
      <c r="M1834" s="92"/>
    </row>
    <row r="1835">
      <c r="A1835" s="103"/>
      <c r="C1835" s="92"/>
      <c r="E1835" s="92"/>
      <c r="F1835" s="105"/>
      <c r="I1835" s="105"/>
      <c r="J1835" s="105"/>
      <c r="K1835" s="92"/>
      <c r="M1835" s="92"/>
    </row>
    <row r="1836">
      <c r="A1836" s="103"/>
      <c r="C1836" s="92"/>
      <c r="E1836" s="92"/>
      <c r="F1836" s="105"/>
      <c r="I1836" s="105"/>
      <c r="J1836" s="105"/>
      <c r="K1836" s="92"/>
      <c r="M1836" s="92"/>
    </row>
    <row r="1837">
      <c r="A1837" s="103"/>
      <c r="C1837" s="92"/>
      <c r="E1837" s="92"/>
      <c r="F1837" s="105"/>
      <c r="I1837" s="105"/>
      <c r="J1837" s="105"/>
      <c r="K1837" s="92"/>
      <c r="M1837" s="92"/>
    </row>
    <row r="1838">
      <c r="A1838" s="103"/>
      <c r="C1838" s="92"/>
      <c r="E1838" s="92"/>
      <c r="F1838" s="105"/>
      <c r="I1838" s="105"/>
      <c r="J1838" s="105"/>
      <c r="K1838" s="92"/>
      <c r="M1838" s="92"/>
    </row>
    <row r="1839">
      <c r="A1839" s="103"/>
      <c r="C1839" s="92"/>
      <c r="E1839" s="92"/>
      <c r="F1839" s="105"/>
      <c r="I1839" s="105"/>
      <c r="J1839" s="105"/>
      <c r="K1839" s="92"/>
      <c r="M1839" s="92"/>
    </row>
    <row r="1840">
      <c r="A1840" s="103"/>
      <c r="C1840" s="92"/>
      <c r="E1840" s="92"/>
      <c r="F1840" s="105"/>
      <c r="I1840" s="105"/>
      <c r="J1840" s="105"/>
      <c r="K1840" s="92"/>
      <c r="M1840" s="92"/>
    </row>
    <row r="1841">
      <c r="A1841" s="103"/>
      <c r="C1841" s="92"/>
      <c r="E1841" s="92"/>
      <c r="F1841" s="105"/>
      <c r="I1841" s="105"/>
      <c r="J1841" s="105"/>
      <c r="K1841" s="92"/>
      <c r="M1841" s="92"/>
    </row>
    <row r="1842">
      <c r="A1842" s="103"/>
      <c r="C1842" s="92"/>
      <c r="E1842" s="92"/>
      <c r="F1842" s="105"/>
      <c r="I1842" s="105"/>
      <c r="J1842" s="105"/>
      <c r="K1842" s="92"/>
      <c r="M1842" s="92"/>
    </row>
    <row r="1843">
      <c r="A1843" s="103"/>
      <c r="C1843" s="92"/>
      <c r="E1843" s="92"/>
      <c r="F1843" s="105"/>
      <c r="I1843" s="105"/>
      <c r="J1843" s="105"/>
      <c r="K1843" s="92"/>
      <c r="M1843" s="92"/>
    </row>
    <row r="1844">
      <c r="A1844" s="103"/>
      <c r="C1844" s="92"/>
      <c r="E1844" s="92"/>
      <c r="F1844" s="105"/>
      <c r="I1844" s="105"/>
      <c r="J1844" s="105"/>
      <c r="K1844" s="92"/>
      <c r="M1844" s="92"/>
    </row>
    <row r="1845">
      <c r="A1845" s="103"/>
      <c r="C1845" s="92"/>
      <c r="E1845" s="92"/>
      <c r="F1845" s="105"/>
      <c r="I1845" s="105"/>
      <c r="J1845" s="105"/>
      <c r="K1845" s="92"/>
      <c r="M1845" s="92"/>
    </row>
    <row r="1846">
      <c r="A1846" s="103"/>
      <c r="C1846" s="92"/>
      <c r="E1846" s="92"/>
      <c r="F1846" s="105"/>
      <c r="I1846" s="105"/>
      <c r="J1846" s="105"/>
      <c r="K1846" s="92"/>
      <c r="M1846" s="92"/>
    </row>
    <row r="1847">
      <c r="A1847" s="103"/>
      <c r="C1847" s="92"/>
      <c r="E1847" s="92"/>
      <c r="F1847" s="105"/>
      <c r="I1847" s="105"/>
      <c r="J1847" s="105"/>
      <c r="K1847" s="92"/>
      <c r="M1847" s="92"/>
    </row>
    <row r="1848">
      <c r="A1848" s="103"/>
      <c r="C1848" s="92"/>
      <c r="E1848" s="92"/>
      <c r="F1848" s="105"/>
      <c r="I1848" s="105"/>
      <c r="J1848" s="105"/>
      <c r="K1848" s="92"/>
      <c r="M1848" s="92"/>
    </row>
    <row r="1849">
      <c r="A1849" s="103"/>
      <c r="C1849" s="92"/>
      <c r="E1849" s="92"/>
      <c r="F1849" s="105"/>
      <c r="I1849" s="105"/>
      <c r="J1849" s="105"/>
      <c r="K1849" s="92"/>
      <c r="M1849" s="92"/>
    </row>
    <row r="1850">
      <c r="A1850" s="103"/>
      <c r="C1850" s="92"/>
      <c r="E1850" s="92"/>
      <c r="F1850" s="105"/>
      <c r="I1850" s="105"/>
      <c r="J1850" s="105"/>
      <c r="K1850" s="92"/>
      <c r="M1850" s="92"/>
    </row>
    <row r="1851">
      <c r="A1851" s="103"/>
      <c r="C1851" s="92"/>
      <c r="E1851" s="92"/>
      <c r="F1851" s="105"/>
      <c r="I1851" s="105"/>
      <c r="J1851" s="105"/>
      <c r="K1851" s="92"/>
      <c r="M1851" s="92"/>
    </row>
    <row r="1852">
      <c r="A1852" s="103"/>
      <c r="C1852" s="92"/>
      <c r="E1852" s="92"/>
      <c r="F1852" s="105"/>
      <c r="I1852" s="105"/>
      <c r="J1852" s="105"/>
      <c r="K1852" s="92"/>
      <c r="M1852" s="92"/>
    </row>
    <row r="1853">
      <c r="A1853" s="103"/>
      <c r="C1853" s="92"/>
      <c r="E1853" s="92"/>
      <c r="F1853" s="105"/>
      <c r="I1853" s="105"/>
      <c r="J1853" s="105"/>
      <c r="K1853" s="92"/>
      <c r="M1853" s="92"/>
    </row>
    <row r="1854">
      <c r="A1854" s="103"/>
      <c r="C1854" s="92"/>
      <c r="E1854" s="92"/>
      <c r="F1854" s="105"/>
      <c r="I1854" s="105"/>
      <c r="J1854" s="105"/>
      <c r="K1854" s="92"/>
      <c r="M1854" s="92"/>
    </row>
    <row r="1855">
      <c r="A1855" s="103"/>
      <c r="C1855" s="92"/>
      <c r="E1855" s="92"/>
      <c r="F1855" s="105"/>
      <c r="I1855" s="105"/>
      <c r="J1855" s="105"/>
      <c r="K1855" s="92"/>
      <c r="M1855" s="92"/>
    </row>
    <row r="1856">
      <c r="A1856" s="103"/>
      <c r="C1856" s="92"/>
      <c r="E1856" s="92"/>
      <c r="F1856" s="105"/>
      <c r="I1856" s="105"/>
      <c r="J1856" s="105"/>
      <c r="K1856" s="92"/>
      <c r="M1856" s="92"/>
    </row>
    <row r="1857">
      <c r="A1857" s="103"/>
      <c r="C1857" s="92"/>
      <c r="E1857" s="92"/>
      <c r="F1857" s="105"/>
      <c r="I1857" s="105"/>
      <c r="J1857" s="105"/>
      <c r="K1857" s="92"/>
      <c r="M1857" s="92"/>
    </row>
    <row r="1858">
      <c r="A1858" s="103"/>
      <c r="C1858" s="92"/>
      <c r="E1858" s="92"/>
      <c r="F1858" s="105"/>
      <c r="I1858" s="105"/>
      <c r="J1858" s="105"/>
      <c r="K1858" s="92"/>
      <c r="M1858" s="92"/>
    </row>
    <row r="1859">
      <c r="A1859" s="103"/>
      <c r="C1859" s="92"/>
      <c r="E1859" s="92"/>
      <c r="F1859" s="105"/>
      <c r="I1859" s="105"/>
      <c r="J1859" s="105"/>
      <c r="K1859" s="92"/>
      <c r="M1859" s="92"/>
    </row>
    <row r="1860">
      <c r="A1860" s="103"/>
      <c r="C1860" s="92"/>
      <c r="E1860" s="92"/>
      <c r="F1860" s="105"/>
      <c r="I1860" s="105"/>
      <c r="J1860" s="105"/>
      <c r="K1860" s="92"/>
      <c r="M1860" s="92"/>
    </row>
    <row r="1861">
      <c r="A1861" s="103"/>
      <c r="C1861" s="92"/>
      <c r="E1861" s="92"/>
      <c r="F1861" s="105"/>
      <c r="I1861" s="105"/>
      <c r="J1861" s="105"/>
      <c r="K1861" s="92"/>
      <c r="M1861" s="92"/>
    </row>
    <row r="1862">
      <c r="A1862" s="103"/>
      <c r="C1862" s="92"/>
      <c r="E1862" s="92"/>
      <c r="F1862" s="105"/>
      <c r="I1862" s="105"/>
      <c r="J1862" s="105"/>
      <c r="K1862" s="92"/>
      <c r="M1862" s="92"/>
    </row>
    <row r="1863">
      <c r="A1863" s="103"/>
      <c r="C1863" s="92"/>
      <c r="E1863" s="92"/>
      <c r="F1863" s="105"/>
      <c r="I1863" s="105"/>
      <c r="J1863" s="105"/>
      <c r="K1863" s="92"/>
      <c r="M1863" s="92"/>
    </row>
    <row r="1864">
      <c r="A1864" s="103"/>
      <c r="C1864" s="92"/>
      <c r="E1864" s="92"/>
      <c r="F1864" s="105"/>
      <c r="I1864" s="105"/>
      <c r="J1864" s="105"/>
      <c r="K1864" s="92"/>
      <c r="M1864" s="92"/>
    </row>
    <row r="1865">
      <c r="A1865" s="103"/>
      <c r="C1865" s="92"/>
      <c r="E1865" s="92"/>
      <c r="F1865" s="105"/>
      <c r="I1865" s="105"/>
      <c r="J1865" s="105"/>
      <c r="K1865" s="92"/>
      <c r="M1865" s="92"/>
    </row>
    <row r="1866">
      <c r="A1866" s="103"/>
      <c r="C1866" s="92"/>
      <c r="E1866" s="92"/>
      <c r="F1866" s="105"/>
      <c r="I1866" s="105"/>
      <c r="J1866" s="105"/>
      <c r="K1866" s="92"/>
      <c r="M1866" s="92"/>
    </row>
    <row r="1867">
      <c r="A1867" s="103"/>
      <c r="C1867" s="92"/>
      <c r="E1867" s="92"/>
      <c r="F1867" s="105"/>
      <c r="I1867" s="105"/>
      <c r="J1867" s="105"/>
      <c r="K1867" s="92"/>
      <c r="M1867" s="92"/>
    </row>
    <row r="1868">
      <c r="A1868" s="103"/>
      <c r="C1868" s="92"/>
      <c r="E1868" s="92"/>
      <c r="F1868" s="105"/>
      <c r="I1868" s="105"/>
      <c r="J1868" s="105"/>
      <c r="K1868" s="92"/>
      <c r="M1868" s="92"/>
    </row>
    <row r="1869">
      <c r="A1869" s="103"/>
      <c r="C1869" s="92"/>
      <c r="E1869" s="92"/>
      <c r="F1869" s="105"/>
      <c r="I1869" s="105"/>
      <c r="J1869" s="105"/>
      <c r="K1869" s="92"/>
      <c r="M1869" s="92"/>
    </row>
    <row r="1870">
      <c r="A1870" s="103"/>
      <c r="C1870" s="92"/>
      <c r="E1870" s="92"/>
      <c r="F1870" s="105"/>
      <c r="I1870" s="105"/>
      <c r="J1870" s="105"/>
      <c r="K1870" s="92"/>
      <c r="M1870" s="92"/>
    </row>
    <row r="1871">
      <c r="A1871" s="103"/>
      <c r="C1871" s="92"/>
      <c r="E1871" s="92"/>
      <c r="F1871" s="105"/>
      <c r="I1871" s="105"/>
      <c r="J1871" s="105"/>
      <c r="K1871" s="92"/>
      <c r="M1871" s="92"/>
    </row>
    <row r="1872">
      <c r="A1872" s="103"/>
      <c r="C1872" s="92"/>
      <c r="E1872" s="92"/>
      <c r="F1872" s="105"/>
      <c r="I1872" s="105"/>
      <c r="J1872" s="105"/>
      <c r="K1872" s="92"/>
      <c r="M1872" s="92"/>
    </row>
    <row r="1873">
      <c r="A1873" s="103"/>
      <c r="C1873" s="92"/>
      <c r="E1873" s="92"/>
      <c r="F1873" s="105"/>
      <c r="I1873" s="105"/>
      <c r="J1873" s="105"/>
      <c r="K1873" s="92"/>
      <c r="M1873" s="92"/>
    </row>
    <row r="1874">
      <c r="A1874" s="103"/>
      <c r="C1874" s="92"/>
      <c r="E1874" s="92"/>
      <c r="F1874" s="105"/>
      <c r="I1874" s="105"/>
      <c r="J1874" s="105"/>
      <c r="K1874" s="92"/>
      <c r="M1874" s="92"/>
    </row>
    <row r="1875">
      <c r="A1875" s="103"/>
      <c r="C1875" s="92"/>
      <c r="E1875" s="92"/>
      <c r="F1875" s="105"/>
      <c r="I1875" s="105"/>
      <c r="J1875" s="105"/>
      <c r="K1875" s="92"/>
      <c r="M1875" s="92"/>
    </row>
    <row r="1876">
      <c r="A1876" s="103"/>
      <c r="C1876" s="92"/>
      <c r="E1876" s="92"/>
      <c r="F1876" s="105"/>
      <c r="I1876" s="105"/>
      <c r="J1876" s="105"/>
      <c r="K1876" s="92"/>
      <c r="M1876" s="92"/>
    </row>
    <row r="1877">
      <c r="A1877" s="103"/>
      <c r="C1877" s="92"/>
      <c r="E1877" s="92"/>
      <c r="F1877" s="105"/>
      <c r="I1877" s="105"/>
      <c r="J1877" s="105"/>
      <c r="K1877" s="92"/>
      <c r="M1877" s="92"/>
    </row>
    <row r="1878">
      <c r="A1878" s="103"/>
      <c r="C1878" s="92"/>
      <c r="E1878" s="92"/>
      <c r="F1878" s="105"/>
      <c r="I1878" s="105"/>
      <c r="J1878" s="105"/>
      <c r="K1878" s="92"/>
      <c r="M1878" s="92"/>
    </row>
    <row r="1879">
      <c r="A1879" s="103"/>
      <c r="C1879" s="92"/>
      <c r="E1879" s="92"/>
      <c r="F1879" s="105"/>
      <c r="I1879" s="105"/>
      <c r="J1879" s="105"/>
      <c r="K1879" s="92"/>
      <c r="M1879" s="92"/>
    </row>
    <row r="1880">
      <c r="A1880" s="103"/>
      <c r="C1880" s="92"/>
      <c r="E1880" s="92"/>
      <c r="F1880" s="105"/>
      <c r="I1880" s="105"/>
      <c r="J1880" s="105"/>
      <c r="K1880" s="92"/>
      <c r="M1880" s="92"/>
    </row>
    <row r="1881">
      <c r="A1881" s="103"/>
      <c r="C1881" s="92"/>
      <c r="E1881" s="92"/>
      <c r="F1881" s="105"/>
      <c r="I1881" s="105"/>
      <c r="J1881" s="105"/>
      <c r="K1881" s="92"/>
      <c r="M1881" s="92"/>
    </row>
    <row r="1882">
      <c r="A1882" s="103"/>
      <c r="C1882" s="92"/>
      <c r="E1882" s="92"/>
      <c r="F1882" s="105"/>
      <c r="I1882" s="105"/>
      <c r="J1882" s="105"/>
      <c r="K1882" s="92"/>
      <c r="M1882" s="92"/>
    </row>
    <row r="1883">
      <c r="A1883" s="103"/>
      <c r="C1883" s="92"/>
      <c r="E1883" s="92"/>
      <c r="F1883" s="105"/>
      <c r="I1883" s="105"/>
      <c r="J1883" s="105"/>
      <c r="K1883" s="92"/>
      <c r="M1883" s="92"/>
    </row>
    <row r="1884">
      <c r="A1884" s="103"/>
      <c r="C1884" s="92"/>
      <c r="E1884" s="92"/>
      <c r="F1884" s="105"/>
      <c r="I1884" s="105"/>
      <c r="J1884" s="105"/>
      <c r="K1884" s="92"/>
      <c r="M1884" s="92"/>
    </row>
    <row r="1885">
      <c r="A1885" s="103"/>
      <c r="C1885" s="92"/>
      <c r="E1885" s="92"/>
      <c r="F1885" s="105"/>
      <c r="I1885" s="105"/>
      <c r="J1885" s="105"/>
      <c r="K1885" s="92"/>
      <c r="M1885" s="92"/>
    </row>
    <row r="1886">
      <c r="A1886" s="103"/>
      <c r="C1886" s="92"/>
      <c r="E1886" s="92"/>
      <c r="F1886" s="105"/>
      <c r="I1886" s="105"/>
      <c r="J1886" s="105"/>
      <c r="K1886" s="92"/>
      <c r="M1886" s="92"/>
    </row>
    <row r="1887">
      <c r="A1887" s="103"/>
      <c r="C1887" s="92"/>
      <c r="E1887" s="92"/>
      <c r="F1887" s="105"/>
      <c r="I1887" s="105"/>
      <c r="J1887" s="105"/>
      <c r="K1887" s="92"/>
      <c r="M1887" s="92"/>
    </row>
    <row r="1888">
      <c r="A1888" s="103"/>
      <c r="C1888" s="92"/>
      <c r="E1888" s="92"/>
      <c r="F1888" s="105"/>
      <c r="I1888" s="105"/>
      <c r="J1888" s="105"/>
      <c r="K1888" s="92"/>
      <c r="M1888" s="92"/>
    </row>
    <row r="1889">
      <c r="A1889" s="103"/>
      <c r="C1889" s="92"/>
      <c r="E1889" s="92"/>
      <c r="F1889" s="105"/>
      <c r="I1889" s="105"/>
      <c r="J1889" s="105"/>
      <c r="K1889" s="92"/>
      <c r="M1889" s="92"/>
    </row>
    <row r="1890">
      <c r="A1890" s="103"/>
      <c r="C1890" s="92"/>
      <c r="E1890" s="92"/>
      <c r="F1890" s="105"/>
      <c r="I1890" s="105"/>
      <c r="J1890" s="105"/>
      <c r="K1890" s="92"/>
      <c r="M1890" s="92"/>
    </row>
    <row r="1891">
      <c r="A1891" s="103"/>
      <c r="C1891" s="92"/>
      <c r="E1891" s="92"/>
      <c r="F1891" s="105"/>
      <c r="I1891" s="105"/>
      <c r="J1891" s="105"/>
      <c r="K1891" s="92"/>
      <c r="M1891" s="92"/>
    </row>
    <row r="1892">
      <c r="A1892" s="103"/>
      <c r="C1892" s="92"/>
      <c r="E1892" s="92"/>
      <c r="F1892" s="105"/>
      <c r="I1892" s="105"/>
      <c r="J1892" s="105"/>
      <c r="K1892" s="92"/>
      <c r="M1892" s="92"/>
    </row>
    <row r="1893">
      <c r="A1893" s="103"/>
      <c r="C1893" s="92"/>
      <c r="E1893" s="92"/>
      <c r="F1893" s="105"/>
      <c r="I1893" s="105"/>
      <c r="J1893" s="105"/>
      <c r="K1893" s="92"/>
      <c r="M1893" s="92"/>
    </row>
    <row r="1894">
      <c r="A1894" s="103"/>
      <c r="C1894" s="92"/>
      <c r="E1894" s="92"/>
      <c r="F1894" s="105"/>
      <c r="I1894" s="105"/>
      <c r="J1894" s="105"/>
      <c r="K1894" s="92"/>
      <c r="M1894" s="92"/>
    </row>
    <row r="1895">
      <c r="A1895" s="103"/>
      <c r="C1895" s="92"/>
      <c r="E1895" s="92"/>
      <c r="F1895" s="105"/>
      <c r="I1895" s="105"/>
      <c r="J1895" s="105"/>
      <c r="K1895" s="92"/>
      <c r="M1895" s="92"/>
    </row>
    <row r="1896">
      <c r="A1896" s="103"/>
      <c r="C1896" s="92"/>
      <c r="E1896" s="92"/>
      <c r="F1896" s="105"/>
      <c r="I1896" s="105"/>
      <c r="J1896" s="105"/>
      <c r="K1896" s="92"/>
      <c r="M1896" s="92"/>
    </row>
    <row r="1897">
      <c r="A1897" s="103"/>
      <c r="C1897" s="92"/>
      <c r="E1897" s="92"/>
      <c r="F1897" s="105"/>
      <c r="I1897" s="105"/>
      <c r="J1897" s="105"/>
      <c r="K1897" s="92"/>
      <c r="M1897" s="92"/>
    </row>
    <row r="1898">
      <c r="A1898" s="103"/>
      <c r="C1898" s="92"/>
      <c r="E1898" s="92"/>
      <c r="F1898" s="105"/>
      <c r="I1898" s="105"/>
      <c r="J1898" s="105"/>
      <c r="K1898" s="92"/>
      <c r="M1898" s="92"/>
    </row>
    <row r="1899">
      <c r="A1899" s="103"/>
      <c r="C1899" s="92"/>
      <c r="E1899" s="92"/>
      <c r="F1899" s="105"/>
      <c r="I1899" s="105"/>
      <c r="J1899" s="105"/>
      <c r="K1899" s="92"/>
      <c r="M1899" s="92"/>
    </row>
    <row r="1900">
      <c r="A1900" s="103"/>
      <c r="C1900" s="92"/>
      <c r="E1900" s="92"/>
      <c r="F1900" s="105"/>
      <c r="I1900" s="105"/>
      <c r="J1900" s="105"/>
      <c r="K1900" s="92"/>
      <c r="M1900" s="92"/>
    </row>
    <row r="1901">
      <c r="A1901" s="103"/>
      <c r="C1901" s="92"/>
      <c r="E1901" s="92"/>
      <c r="F1901" s="105"/>
      <c r="I1901" s="105"/>
      <c r="J1901" s="105"/>
      <c r="K1901" s="92"/>
      <c r="M1901" s="92"/>
    </row>
    <row r="1902">
      <c r="A1902" s="103"/>
      <c r="C1902" s="92"/>
      <c r="E1902" s="92"/>
      <c r="F1902" s="105"/>
      <c r="I1902" s="105"/>
      <c r="J1902" s="105"/>
      <c r="K1902" s="92"/>
      <c r="M1902" s="92"/>
    </row>
    <row r="1903">
      <c r="A1903" s="103"/>
      <c r="C1903" s="92"/>
      <c r="E1903" s="92"/>
      <c r="F1903" s="105"/>
      <c r="I1903" s="105"/>
      <c r="J1903" s="105"/>
      <c r="K1903" s="92"/>
      <c r="M1903" s="92"/>
    </row>
    <row r="1904">
      <c r="A1904" s="103"/>
      <c r="C1904" s="92"/>
      <c r="E1904" s="92"/>
      <c r="F1904" s="105"/>
      <c r="I1904" s="105"/>
      <c r="J1904" s="105"/>
      <c r="K1904" s="92"/>
      <c r="M1904" s="92"/>
    </row>
    <row r="1905">
      <c r="A1905" s="103"/>
      <c r="C1905" s="92"/>
      <c r="E1905" s="92"/>
      <c r="F1905" s="105"/>
      <c r="I1905" s="105"/>
      <c r="J1905" s="105"/>
      <c r="K1905" s="92"/>
      <c r="M1905" s="92"/>
    </row>
    <row r="1906">
      <c r="A1906" s="103"/>
      <c r="C1906" s="92"/>
      <c r="E1906" s="92"/>
      <c r="F1906" s="105"/>
      <c r="I1906" s="105"/>
      <c r="J1906" s="105"/>
      <c r="K1906" s="92"/>
      <c r="M1906" s="92"/>
    </row>
    <row r="1907">
      <c r="A1907" s="103"/>
      <c r="C1907" s="92"/>
      <c r="E1907" s="92"/>
      <c r="F1907" s="105"/>
      <c r="I1907" s="105"/>
      <c r="J1907" s="105"/>
      <c r="K1907" s="92"/>
      <c r="M1907" s="92"/>
    </row>
    <row r="1908">
      <c r="A1908" s="103"/>
      <c r="C1908" s="92"/>
      <c r="E1908" s="92"/>
      <c r="F1908" s="105"/>
      <c r="I1908" s="105"/>
      <c r="J1908" s="105"/>
      <c r="K1908" s="92"/>
      <c r="M1908" s="92"/>
    </row>
    <row r="1909">
      <c r="A1909" s="103"/>
      <c r="C1909" s="92"/>
      <c r="E1909" s="92"/>
      <c r="F1909" s="105"/>
      <c r="I1909" s="105"/>
      <c r="J1909" s="105"/>
      <c r="K1909" s="92"/>
      <c r="M1909" s="92"/>
    </row>
    <row r="1910">
      <c r="A1910" s="103"/>
      <c r="C1910" s="92"/>
      <c r="E1910" s="92"/>
      <c r="F1910" s="105"/>
      <c r="I1910" s="105"/>
      <c r="J1910" s="105"/>
      <c r="K1910" s="92"/>
      <c r="M1910" s="92"/>
    </row>
    <row r="1911">
      <c r="A1911" s="103"/>
      <c r="C1911" s="92"/>
      <c r="E1911" s="92"/>
      <c r="F1911" s="105"/>
      <c r="I1911" s="105"/>
      <c r="J1911" s="105"/>
      <c r="K1911" s="92"/>
      <c r="M1911" s="92"/>
    </row>
    <row r="1912">
      <c r="A1912" s="103"/>
      <c r="C1912" s="92"/>
      <c r="E1912" s="92"/>
      <c r="F1912" s="105"/>
      <c r="I1912" s="105"/>
      <c r="J1912" s="105"/>
      <c r="K1912" s="92"/>
      <c r="M1912" s="92"/>
    </row>
    <row r="1913">
      <c r="A1913" s="103"/>
      <c r="C1913" s="92"/>
      <c r="E1913" s="92"/>
      <c r="F1913" s="105"/>
      <c r="I1913" s="105"/>
      <c r="J1913" s="105"/>
      <c r="K1913" s="92"/>
      <c r="M1913" s="92"/>
    </row>
    <row r="1914">
      <c r="A1914" s="103"/>
      <c r="C1914" s="92"/>
      <c r="E1914" s="92"/>
      <c r="F1914" s="105"/>
      <c r="I1914" s="105"/>
      <c r="J1914" s="105"/>
      <c r="K1914" s="92"/>
      <c r="M1914" s="92"/>
    </row>
    <row r="1915">
      <c r="A1915" s="103"/>
      <c r="C1915" s="92"/>
      <c r="E1915" s="92"/>
      <c r="F1915" s="105"/>
      <c r="I1915" s="105"/>
      <c r="J1915" s="105"/>
      <c r="K1915" s="92"/>
      <c r="M1915" s="92"/>
    </row>
    <row r="1916">
      <c r="A1916" s="103"/>
      <c r="C1916" s="92"/>
      <c r="E1916" s="92"/>
      <c r="F1916" s="105"/>
      <c r="I1916" s="105"/>
      <c r="J1916" s="105"/>
      <c r="K1916" s="92"/>
      <c r="M1916" s="92"/>
    </row>
    <row r="1917">
      <c r="A1917" s="103"/>
      <c r="C1917" s="92"/>
      <c r="E1917" s="92"/>
      <c r="F1917" s="105"/>
      <c r="I1917" s="105"/>
      <c r="J1917" s="105"/>
      <c r="K1917" s="92"/>
      <c r="M1917" s="92"/>
    </row>
    <row r="1918">
      <c r="A1918" s="103"/>
      <c r="C1918" s="92"/>
      <c r="E1918" s="92"/>
      <c r="F1918" s="105"/>
      <c r="I1918" s="105"/>
      <c r="J1918" s="105"/>
      <c r="K1918" s="92"/>
      <c r="M1918" s="92"/>
    </row>
    <row r="1919">
      <c r="A1919" s="103"/>
      <c r="C1919" s="92"/>
      <c r="E1919" s="92"/>
      <c r="F1919" s="105"/>
      <c r="I1919" s="105"/>
      <c r="J1919" s="105"/>
      <c r="K1919" s="92"/>
      <c r="M1919" s="92"/>
    </row>
    <row r="1920">
      <c r="A1920" s="103"/>
      <c r="C1920" s="92"/>
      <c r="E1920" s="92"/>
      <c r="F1920" s="105"/>
      <c r="I1920" s="105"/>
      <c r="J1920" s="105"/>
      <c r="K1920" s="92"/>
      <c r="M1920" s="92"/>
    </row>
    <row r="1921">
      <c r="A1921" s="103"/>
      <c r="C1921" s="92"/>
      <c r="E1921" s="92"/>
      <c r="F1921" s="105"/>
      <c r="I1921" s="105"/>
      <c r="J1921" s="105"/>
      <c r="K1921" s="92"/>
      <c r="M1921" s="92"/>
    </row>
    <row r="1922">
      <c r="A1922" s="103"/>
      <c r="C1922" s="92"/>
      <c r="E1922" s="92"/>
      <c r="F1922" s="105"/>
      <c r="I1922" s="105"/>
      <c r="J1922" s="105"/>
      <c r="K1922" s="92"/>
      <c r="M1922" s="92"/>
    </row>
    <row r="1923">
      <c r="A1923" s="103"/>
      <c r="C1923" s="92"/>
      <c r="E1923" s="92"/>
      <c r="F1923" s="105"/>
      <c r="I1923" s="105"/>
      <c r="J1923" s="105"/>
      <c r="K1923" s="92"/>
      <c r="M1923" s="92"/>
    </row>
    <row r="1924">
      <c r="A1924" s="103"/>
      <c r="C1924" s="92"/>
      <c r="E1924" s="92"/>
      <c r="F1924" s="105"/>
      <c r="I1924" s="105"/>
      <c r="J1924" s="105"/>
      <c r="K1924" s="92"/>
      <c r="M1924" s="92"/>
    </row>
    <row r="1925">
      <c r="A1925" s="103"/>
      <c r="C1925" s="92"/>
      <c r="E1925" s="92"/>
      <c r="F1925" s="105"/>
      <c r="I1925" s="105"/>
      <c r="J1925" s="105"/>
      <c r="K1925" s="92"/>
      <c r="M1925" s="92"/>
    </row>
    <row r="1926">
      <c r="A1926" s="103"/>
      <c r="C1926" s="92"/>
      <c r="E1926" s="92"/>
      <c r="F1926" s="105"/>
      <c r="I1926" s="105"/>
      <c r="J1926" s="105"/>
      <c r="K1926" s="92"/>
      <c r="M1926" s="92"/>
    </row>
    <row r="1927">
      <c r="A1927" s="103"/>
      <c r="C1927" s="92"/>
      <c r="E1927" s="92"/>
      <c r="F1927" s="105"/>
      <c r="I1927" s="105"/>
      <c r="J1927" s="105"/>
      <c r="K1927" s="92"/>
      <c r="M1927" s="92"/>
    </row>
    <row r="1928">
      <c r="A1928" s="103"/>
      <c r="C1928" s="92"/>
      <c r="E1928" s="92"/>
      <c r="F1928" s="105"/>
      <c r="I1928" s="105"/>
      <c r="J1928" s="105"/>
      <c r="K1928" s="92"/>
      <c r="M1928" s="92"/>
    </row>
    <row r="1929">
      <c r="A1929" s="103"/>
      <c r="C1929" s="92"/>
      <c r="E1929" s="92"/>
      <c r="F1929" s="105"/>
      <c r="I1929" s="105"/>
      <c r="J1929" s="105"/>
      <c r="K1929" s="92"/>
      <c r="M1929" s="92"/>
    </row>
    <row r="1930">
      <c r="A1930" s="103"/>
      <c r="C1930" s="92"/>
      <c r="E1930" s="92"/>
      <c r="F1930" s="105"/>
      <c r="I1930" s="105"/>
      <c r="J1930" s="105"/>
      <c r="K1930" s="92"/>
      <c r="M1930" s="92"/>
    </row>
    <row r="1931">
      <c r="A1931" s="103"/>
      <c r="C1931" s="92"/>
      <c r="E1931" s="92"/>
      <c r="F1931" s="105"/>
      <c r="I1931" s="105"/>
      <c r="J1931" s="105"/>
      <c r="K1931" s="92"/>
      <c r="M1931" s="92"/>
    </row>
    <row r="1932">
      <c r="A1932" s="103"/>
      <c r="C1932" s="92"/>
      <c r="E1932" s="92"/>
      <c r="F1932" s="105"/>
      <c r="I1932" s="105"/>
      <c r="J1932" s="105"/>
      <c r="K1932" s="92"/>
      <c r="M1932" s="92"/>
    </row>
    <row r="1933">
      <c r="A1933" s="103"/>
      <c r="C1933" s="92"/>
      <c r="E1933" s="92"/>
      <c r="F1933" s="105"/>
      <c r="I1933" s="105"/>
      <c r="J1933" s="105"/>
      <c r="K1933" s="92"/>
      <c r="M1933" s="92"/>
    </row>
    <row r="1934">
      <c r="A1934" s="103"/>
      <c r="C1934" s="92"/>
      <c r="E1934" s="92"/>
      <c r="F1934" s="105"/>
      <c r="I1934" s="105"/>
      <c r="J1934" s="105"/>
      <c r="K1934" s="92"/>
      <c r="M1934" s="92"/>
    </row>
    <row r="1935">
      <c r="A1935" s="103"/>
      <c r="C1935" s="92"/>
      <c r="E1935" s="92"/>
      <c r="F1935" s="105"/>
      <c r="I1935" s="105"/>
      <c r="J1935" s="105"/>
      <c r="K1935" s="92"/>
      <c r="M1935" s="92"/>
    </row>
    <row r="1936">
      <c r="A1936" s="103"/>
      <c r="C1936" s="92"/>
      <c r="E1936" s="92"/>
      <c r="F1936" s="105"/>
      <c r="I1936" s="105"/>
      <c r="J1936" s="105"/>
      <c r="K1936" s="92"/>
      <c r="M1936" s="92"/>
    </row>
    <row r="1937">
      <c r="A1937" s="103"/>
      <c r="C1937" s="92"/>
      <c r="E1937" s="92"/>
      <c r="F1937" s="105"/>
      <c r="I1937" s="105"/>
      <c r="J1937" s="105"/>
      <c r="K1937" s="92"/>
      <c r="M1937" s="92"/>
    </row>
    <row r="1938">
      <c r="A1938" s="103"/>
      <c r="C1938" s="92"/>
      <c r="E1938" s="92"/>
      <c r="F1938" s="105"/>
      <c r="I1938" s="105"/>
      <c r="J1938" s="105"/>
      <c r="K1938" s="92"/>
      <c r="M1938" s="92"/>
    </row>
    <row r="1939">
      <c r="A1939" s="103"/>
      <c r="C1939" s="92"/>
      <c r="E1939" s="92"/>
      <c r="F1939" s="105"/>
      <c r="I1939" s="105"/>
      <c r="J1939" s="105"/>
      <c r="K1939" s="92"/>
      <c r="M1939" s="92"/>
    </row>
    <row r="1940">
      <c r="A1940" s="103"/>
      <c r="C1940" s="92"/>
      <c r="E1940" s="92"/>
      <c r="F1940" s="105"/>
      <c r="I1940" s="105"/>
      <c r="J1940" s="105"/>
      <c r="K1940" s="92"/>
      <c r="M1940" s="92"/>
    </row>
    <row r="1941">
      <c r="A1941" s="103"/>
      <c r="C1941" s="92"/>
      <c r="E1941" s="92"/>
      <c r="F1941" s="105"/>
      <c r="I1941" s="105"/>
      <c r="J1941" s="105"/>
      <c r="K1941" s="92"/>
      <c r="M1941" s="92"/>
    </row>
    <row r="1942">
      <c r="A1942" s="103"/>
      <c r="C1942" s="92"/>
      <c r="E1942" s="92"/>
      <c r="F1942" s="105"/>
      <c r="I1942" s="105"/>
      <c r="J1942" s="105"/>
      <c r="K1942" s="92"/>
      <c r="M1942" s="92"/>
    </row>
    <row r="1943">
      <c r="A1943" s="103"/>
      <c r="C1943" s="92"/>
      <c r="E1943" s="92"/>
      <c r="F1943" s="105"/>
      <c r="I1943" s="105"/>
      <c r="J1943" s="105"/>
      <c r="K1943" s="92"/>
      <c r="M1943" s="92"/>
    </row>
    <row r="1944">
      <c r="A1944" s="103"/>
      <c r="C1944" s="92"/>
      <c r="E1944" s="92"/>
      <c r="F1944" s="105"/>
      <c r="I1944" s="105"/>
      <c r="J1944" s="105"/>
      <c r="K1944" s="92"/>
      <c r="M1944" s="92"/>
    </row>
    <row r="1945">
      <c r="A1945" s="103"/>
      <c r="C1945" s="92"/>
      <c r="E1945" s="92"/>
      <c r="F1945" s="105"/>
      <c r="I1945" s="105"/>
      <c r="J1945" s="105"/>
      <c r="K1945" s="92"/>
      <c r="M1945" s="92"/>
    </row>
    <row r="1946">
      <c r="A1946" s="103"/>
      <c r="C1946" s="92"/>
      <c r="E1946" s="92"/>
      <c r="F1946" s="105"/>
      <c r="I1946" s="105"/>
      <c r="J1946" s="105"/>
      <c r="K1946" s="92"/>
      <c r="M1946" s="92"/>
    </row>
    <row r="1947">
      <c r="A1947" s="103"/>
      <c r="C1947" s="92"/>
      <c r="E1947" s="92"/>
      <c r="F1947" s="105"/>
      <c r="I1947" s="105"/>
      <c r="J1947" s="105"/>
      <c r="K1947" s="92"/>
      <c r="M1947" s="92"/>
    </row>
    <row r="1948">
      <c r="A1948" s="103"/>
      <c r="C1948" s="92"/>
      <c r="E1948" s="92"/>
      <c r="F1948" s="105"/>
      <c r="I1948" s="105"/>
      <c r="J1948" s="105"/>
      <c r="K1948" s="92"/>
      <c r="M1948" s="92"/>
    </row>
    <row r="1949">
      <c r="A1949" s="103"/>
      <c r="C1949" s="92"/>
      <c r="E1949" s="92"/>
      <c r="F1949" s="105"/>
      <c r="I1949" s="105"/>
      <c r="J1949" s="105"/>
      <c r="K1949" s="92"/>
      <c r="M1949" s="92"/>
    </row>
    <row r="1950">
      <c r="A1950" s="103"/>
      <c r="C1950" s="92"/>
      <c r="E1950" s="92"/>
      <c r="F1950" s="105"/>
      <c r="I1950" s="105"/>
      <c r="J1950" s="105"/>
      <c r="K1950" s="92"/>
      <c r="M1950" s="92"/>
    </row>
    <row r="1951">
      <c r="A1951" s="103"/>
      <c r="C1951" s="92"/>
      <c r="E1951" s="92"/>
      <c r="F1951" s="105"/>
      <c r="I1951" s="105"/>
      <c r="J1951" s="105"/>
      <c r="K1951" s="92"/>
      <c r="M1951" s="92"/>
    </row>
    <row r="1952">
      <c r="A1952" s="103"/>
      <c r="C1952" s="92"/>
      <c r="E1952" s="92"/>
      <c r="F1952" s="105"/>
      <c r="I1952" s="105"/>
      <c r="J1952" s="105"/>
      <c r="K1952" s="92"/>
      <c r="M1952" s="92"/>
    </row>
    <row r="1953">
      <c r="A1953" s="103"/>
      <c r="C1953" s="92"/>
      <c r="E1953" s="92"/>
      <c r="F1953" s="105"/>
      <c r="I1953" s="105"/>
      <c r="J1953" s="105"/>
      <c r="K1953" s="92"/>
      <c r="M1953" s="92"/>
    </row>
    <row r="1954">
      <c r="A1954" s="103"/>
      <c r="C1954" s="92"/>
      <c r="E1954" s="92"/>
      <c r="F1954" s="105"/>
      <c r="I1954" s="105"/>
      <c r="J1954" s="105"/>
      <c r="K1954" s="92"/>
      <c r="M1954" s="92"/>
    </row>
    <row r="1955">
      <c r="A1955" s="103"/>
      <c r="C1955" s="92"/>
      <c r="E1955" s="92"/>
      <c r="F1955" s="105"/>
      <c r="I1955" s="105"/>
      <c r="J1955" s="105"/>
      <c r="K1955" s="92"/>
      <c r="M1955" s="92"/>
    </row>
    <row r="1956">
      <c r="A1956" s="103"/>
      <c r="C1956" s="92"/>
      <c r="E1956" s="92"/>
      <c r="F1956" s="105"/>
      <c r="I1956" s="105"/>
      <c r="J1956" s="105"/>
      <c r="K1956" s="92"/>
      <c r="M1956" s="92"/>
    </row>
    <row r="1957">
      <c r="A1957" s="103"/>
      <c r="C1957" s="92"/>
      <c r="E1957" s="92"/>
      <c r="F1957" s="105"/>
      <c r="I1957" s="105"/>
      <c r="J1957" s="105"/>
      <c r="K1957" s="92"/>
      <c r="M1957" s="92"/>
    </row>
    <row r="1958">
      <c r="A1958" s="103"/>
      <c r="C1958" s="92"/>
      <c r="E1958" s="92"/>
      <c r="F1958" s="105"/>
      <c r="I1958" s="105"/>
      <c r="J1958" s="105"/>
      <c r="K1958" s="92"/>
      <c r="M1958" s="92"/>
    </row>
    <row r="1959">
      <c r="A1959" s="103"/>
      <c r="C1959" s="92"/>
      <c r="E1959" s="92"/>
      <c r="F1959" s="105"/>
      <c r="I1959" s="105"/>
      <c r="J1959" s="105"/>
      <c r="K1959" s="92"/>
      <c r="M1959" s="92"/>
    </row>
    <row r="1960">
      <c r="A1960" s="103"/>
      <c r="C1960" s="92"/>
      <c r="E1960" s="92"/>
      <c r="F1960" s="105"/>
      <c r="I1960" s="105"/>
      <c r="J1960" s="105"/>
      <c r="K1960" s="92"/>
      <c r="M1960" s="92"/>
    </row>
    <row r="1961">
      <c r="A1961" s="103"/>
      <c r="C1961" s="92"/>
      <c r="E1961" s="92"/>
      <c r="F1961" s="105"/>
      <c r="I1961" s="105"/>
      <c r="J1961" s="105"/>
      <c r="K1961" s="92"/>
      <c r="M1961" s="92"/>
    </row>
    <row r="1962">
      <c r="A1962" s="103"/>
      <c r="C1962" s="92"/>
      <c r="E1962" s="92"/>
      <c r="F1962" s="105"/>
      <c r="I1962" s="105"/>
      <c r="J1962" s="105"/>
      <c r="K1962" s="92"/>
      <c r="M1962" s="92"/>
    </row>
    <row r="1963">
      <c r="A1963" s="103"/>
      <c r="C1963" s="92"/>
      <c r="E1963" s="92"/>
      <c r="F1963" s="105"/>
      <c r="I1963" s="105"/>
      <c r="J1963" s="105"/>
      <c r="K1963" s="92"/>
      <c r="M1963" s="92"/>
    </row>
    <row r="1964">
      <c r="A1964" s="103"/>
      <c r="C1964" s="92"/>
      <c r="E1964" s="92"/>
      <c r="F1964" s="105"/>
      <c r="I1964" s="105"/>
      <c r="J1964" s="105"/>
      <c r="K1964" s="92"/>
      <c r="M1964" s="92"/>
    </row>
    <row r="1965">
      <c r="A1965" s="103"/>
      <c r="C1965" s="92"/>
      <c r="E1965" s="92"/>
      <c r="F1965" s="105"/>
      <c r="I1965" s="105"/>
      <c r="J1965" s="105"/>
      <c r="K1965" s="92"/>
      <c r="M1965" s="92"/>
    </row>
    <row r="1966">
      <c r="A1966" s="103"/>
      <c r="C1966" s="92"/>
      <c r="E1966" s="92"/>
      <c r="F1966" s="105"/>
      <c r="I1966" s="105"/>
      <c r="J1966" s="105"/>
      <c r="K1966" s="92"/>
      <c r="M1966" s="92"/>
    </row>
    <row r="1967">
      <c r="A1967" s="103"/>
      <c r="C1967" s="92"/>
      <c r="E1967" s="92"/>
      <c r="F1967" s="105"/>
      <c r="I1967" s="105"/>
      <c r="J1967" s="105"/>
      <c r="K1967" s="92"/>
      <c r="M1967" s="92"/>
    </row>
    <row r="1968">
      <c r="A1968" s="103"/>
      <c r="C1968" s="92"/>
      <c r="E1968" s="92"/>
      <c r="F1968" s="105"/>
      <c r="I1968" s="105"/>
      <c r="J1968" s="105"/>
      <c r="K1968" s="92"/>
      <c r="M1968" s="92"/>
    </row>
    <row r="1969">
      <c r="A1969" s="103"/>
      <c r="C1969" s="92"/>
      <c r="E1969" s="92"/>
      <c r="F1969" s="105"/>
      <c r="I1969" s="105"/>
      <c r="J1969" s="105"/>
      <c r="K1969" s="92"/>
      <c r="M1969" s="92"/>
    </row>
    <row r="1970">
      <c r="A1970" s="103"/>
      <c r="C1970" s="92"/>
      <c r="E1970" s="92"/>
      <c r="F1970" s="105"/>
      <c r="I1970" s="105"/>
      <c r="J1970" s="105"/>
      <c r="K1970" s="92"/>
      <c r="M1970" s="92"/>
    </row>
    <row r="1971">
      <c r="A1971" s="103"/>
      <c r="C1971" s="92"/>
      <c r="E1971" s="92"/>
      <c r="F1971" s="105"/>
      <c r="I1971" s="105"/>
      <c r="J1971" s="105"/>
      <c r="K1971" s="92"/>
      <c r="M1971" s="92"/>
    </row>
    <row r="1972">
      <c r="A1972" s="103"/>
      <c r="C1972" s="92"/>
      <c r="E1972" s="92"/>
      <c r="F1972" s="105"/>
      <c r="I1972" s="105"/>
      <c r="J1972" s="105"/>
      <c r="K1972" s="92"/>
      <c r="M1972" s="92"/>
    </row>
    <row r="1973">
      <c r="A1973" s="103"/>
      <c r="C1973" s="92"/>
      <c r="E1973" s="92"/>
      <c r="F1973" s="105"/>
      <c r="I1973" s="105"/>
      <c r="J1973" s="105"/>
      <c r="K1973" s="92"/>
      <c r="M1973" s="92"/>
    </row>
    <row r="1974">
      <c r="A1974" s="103"/>
      <c r="C1974" s="92"/>
      <c r="E1974" s="92"/>
      <c r="F1974" s="105"/>
      <c r="I1974" s="105"/>
      <c r="J1974" s="105"/>
      <c r="K1974" s="92"/>
      <c r="M1974" s="92"/>
    </row>
    <row r="1975">
      <c r="A1975" s="103"/>
      <c r="C1975" s="92"/>
      <c r="E1975" s="92"/>
      <c r="F1975" s="105"/>
      <c r="I1975" s="105"/>
      <c r="J1975" s="105"/>
      <c r="K1975" s="92"/>
      <c r="M1975" s="92"/>
    </row>
    <row r="1976">
      <c r="A1976" s="103"/>
      <c r="C1976" s="92"/>
      <c r="E1976" s="92"/>
      <c r="F1976" s="105"/>
      <c r="I1976" s="105"/>
      <c r="J1976" s="105"/>
      <c r="K1976" s="92"/>
      <c r="M1976" s="92"/>
    </row>
    <row r="1977">
      <c r="A1977" s="103"/>
      <c r="C1977" s="92"/>
      <c r="E1977" s="92"/>
      <c r="F1977" s="105"/>
      <c r="I1977" s="105"/>
      <c r="J1977" s="105"/>
      <c r="K1977" s="92"/>
      <c r="M1977" s="92"/>
    </row>
    <row r="1978">
      <c r="A1978" s="103"/>
      <c r="C1978" s="92"/>
      <c r="E1978" s="92"/>
      <c r="F1978" s="105"/>
      <c r="I1978" s="105"/>
      <c r="J1978" s="105"/>
      <c r="K1978" s="92"/>
      <c r="M1978" s="92"/>
    </row>
    <row r="1979">
      <c r="A1979" s="103"/>
      <c r="C1979" s="92"/>
      <c r="E1979" s="92"/>
      <c r="F1979" s="105"/>
      <c r="I1979" s="105"/>
      <c r="J1979" s="105"/>
      <c r="K1979" s="92"/>
      <c r="M1979" s="92"/>
    </row>
    <row r="1980">
      <c r="A1980" s="103"/>
      <c r="C1980" s="92"/>
      <c r="E1980" s="92"/>
      <c r="F1980" s="105"/>
      <c r="I1980" s="105"/>
      <c r="J1980" s="105"/>
      <c r="K1980" s="92"/>
      <c r="M1980" s="92"/>
    </row>
    <row r="1981">
      <c r="A1981" s="103"/>
      <c r="C1981" s="92"/>
      <c r="E1981" s="92"/>
      <c r="F1981" s="105"/>
      <c r="I1981" s="105"/>
      <c r="J1981" s="105"/>
      <c r="K1981" s="92"/>
      <c r="M1981" s="92"/>
    </row>
    <row r="1982">
      <c r="A1982" s="103"/>
      <c r="C1982" s="92"/>
      <c r="E1982" s="92"/>
      <c r="F1982" s="105"/>
      <c r="I1982" s="105"/>
      <c r="J1982" s="105"/>
      <c r="K1982" s="92"/>
      <c r="M1982" s="92"/>
    </row>
    <row r="1983">
      <c r="A1983" s="103"/>
      <c r="C1983" s="92"/>
      <c r="E1983" s="92"/>
      <c r="F1983" s="105"/>
      <c r="I1983" s="105"/>
      <c r="J1983" s="105"/>
      <c r="K1983" s="92"/>
      <c r="M1983" s="92"/>
    </row>
    <row r="1984">
      <c r="A1984" s="103"/>
      <c r="C1984" s="92"/>
      <c r="E1984" s="92"/>
      <c r="F1984" s="105"/>
      <c r="I1984" s="105"/>
      <c r="J1984" s="105"/>
      <c r="K1984" s="92"/>
      <c r="M1984" s="92"/>
    </row>
    <row r="1985">
      <c r="A1985" s="103"/>
      <c r="C1985" s="92"/>
      <c r="E1985" s="92"/>
      <c r="F1985" s="105"/>
      <c r="I1985" s="105"/>
      <c r="J1985" s="105"/>
      <c r="K1985" s="92"/>
      <c r="M1985" s="92"/>
    </row>
    <row r="1986">
      <c r="A1986" s="103"/>
      <c r="C1986" s="92"/>
      <c r="E1986" s="92"/>
      <c r="F1986" s="105"/>
      <c r="I1986" s="105"/>
      <c r="J1986" s="105"/>
      <c r="K1986" s="92"/>
      <c r="M1986" s="92"/>
    </row>
    <row r="1987">
      <c r="A1987" s="103"/>
      <c r="C1987" s="92"/>
      <c r="E1987" s="92"/>
      <c r="F1987" s="105"/>
      <c r="I1987" s="105"/>
      <c r="J1987" s="105"/>
      <c r="K1987" s="92"/>
      <c r="M1987" s="92"/>
    </row>
    <row r="1988">
      <c r="A1988" s="103"/>
      <c r="C1988" s="92"/>
      <c r="E1988" s="92"/>
      <c r="F1988" s="105"/>
      <c r="I1988" s="105"/>
      <c r="J1988" s="105"/>
      <c r="K1988" s="92"/>
      <c r="M1988" s="92"/>
    </row>
    <row r="1989">
      <c r="A1989" s="103"/>
      <c r="C1989" s="92"/>
      <c r="E1989" s="92"/>
      <c r="F1989" s="105"/>
      <c r="I1989" s="105"/>
      <c r="J1989" s="105"/>
      <c r="K1989" s="92"/>
      <c r="M1989" s="92"/>
    </row>
    <row r="1990">
      <c r="A1990" s="103"/>
      <c r="C1990" s="92"/>
      <c r="E1990" s="92"/>
      <c r="F1990" s="105"/>
      <c r="I1990" s="105"/>
      <c r="J1990" s="105"/>
      <c r="K1990" s="92"/>
      <c r="M1990" s="92"/>
    </row>
    <row r="1991">
      <c r="A1991" s="103"/>
      <c r="C1991" s="92"/>
      <c r="E1991" s="92"/>
      <c r="F1991" s="105"/>
      <c r="I1991" s="105"/>
      <c r="J1991" s="105"/>
      <c r="K1991" s="92"/>
      <c r="M1991" s="92"/>
    </row>
    <row r="1992">
      <c r="A1992" s="103"/>
      <c r="C1992" s="92"/>
      <c r="E1992" s="92"/>
      <c r="F1992" s="105"/>
      <c r="I1992" s="105"/>
      <c r="J1992" s="105"/>
      <c r="K1992" s="92"/>
      <c r="M1992" s="92"/>
    </row>
    <row r="1993">
      <c r="A1993" s="103"/>
      <c r="C1993" s="92"/>
      <c r="E1993" s="92"/>
      <c r="F1993" s="105"/>
      <c r="I1993" s="105"/>
      <c r="J1993" s="105"/>
      <c r="K1993" s="92"/>
      <c r="M1993" s="92"/>
    </row>
    <row r="1994">
      <c r="A1994" s="103"/>
      <c r="C1994" s="92"/>
      <c r="E1994" s="92"/>
      <c r="F1994" s="105"/>
      <c r="I1994" s="105"/>
      <c r="J1994" s="105"/>
      <c r="K1994" s="92"/>
      <c r="M1994" s="92"/>
    </row>
    <row r="1995">
      <c r="A1995" s="103"/>
      <c r="C1995" s="92"/>
      <c r="E1995" s="92"/>
      <c r="F1995" s="105"/>
      <c r="I1995" s="105"/>
      <c r="J1995" s="105"/>
      <c r="K1995" s="92"/>
      <c r="M1995" s="92"/>
    </row>
    <row r="1996">
      <c r="A1996" s="103"/>
      <c r="C1996" s="92"/>
      <c r="E1996" s="92"/>
      <c r="F1996" s="105"/>
      <c r="I1996" s="105"/>
      <c r="J1996" s="105"/>
      <c r="K1996" s="92"/>
      <c r="M1996" s="92"/>
    </row>
    <row r="1997">
      <c r="A1997" s="103"/>
      <c r="C1997" s="92"/>
      <c r="E1997" s="92"/>
      <c r="F1997" s="105"/>
      <c r="I1997" s="105"/>
      <c r="J1997" s="105"/>
      <c r="K1997" s="92"/>
      <c r="M1997" s="92"/>
    </row>
    <row r="1998">
      <c r="A1998" s="103"/>
      <c r="C1998" s="92"/>
      <c r="E1998" s="92"/>
      <c r="F1998" s="105"/>
      <c r="I1998" s="105"/>
      <c r="J1998" s="105"/>
      <c r="K1998" s="92"/>
      <c r="M1998" s="92"/>
    </row>
    <row r="1999">
      <c r="A1999" s="103"/>
      <c r="C1999" s="92"/>
      <c r="E1999" s="92"/>
      <c r="F1999" s="105"/>
      <c r="I1999" s="105"/>
      <c r="J1999" s="105"/>
      <c r="K1999" s="92"/>
      <c r="M1999" s="92"/>
    </row>
    <row r="2000">
      <c r="A2000" s="103"/>
      <c r="C2000" s="92"/>
      <c r="E2000" s="92"/>
      <c r="F2000" s="105"/>
      <c r="I2000" s="105"/>
      <c r="J2000" s="105"/>
      <c r="K2000" s="92"/>
      <c r="M2000" s="92"/>
    </row>
    <row r="2001">
      <c r="A2001" s="103"/>
      <c r="C2001" s="92"/>
      <c r="E2001" s="92"/>
      <c r="F2001" s="105"/>
      <c r="I2001" s="105"/>
      <c r="J2001" s="105"/>
      <c r="K2001" s="92"/>
      <c r="M2001" s="92"/>
    </row>
    <row r="2002">
      <c r="A2002" s="103"/>
      <c r="C2002" s="92"/>
      <c r="E2002" s="92"/>
      <c r="F2002" s="105"/>
      <c r="I2002" s="105"/>
      <c r="J2002" s="105"/>
      <c r="K2002" s="92"/>
      <c r="M2002" s="92"/>
    </row>
    <row r="2003">
      <c r="A2003" s="103"/>
      <c r="C2003" s="92"/>
      <c r="E2003" s="92"/>
      <c r="F2003" s="105"/>
      <c r="I2003" s="105"/>
      <c r="J2003" s="105"/>
      <c r="K2003" s="92"/>
      <c r="M2003" s="92"/>
    </row>
    <row r="2004">
      <c r="A2004" s="103"/>
      <c r="C2004" s="92"/>
      <c r="E2004" s="92"/>
      <c r="F2004" s="105"/>
      <c r="I2004" s="105"/>
      <c r="J2004" s="105"/>
      <c r="K2004" s="92"/>
      <c r="M2004" s="92"/>
    </row>
    <row r="2005">
      <c r="A2005" s="103"/>
      <c r="C2005" s="92"/>
      <c r="E2005" s="92"/>
      <c r="F2005" s="105"/>
      <c r="I2005" s="105"/>
      <c r="J2005" s="105"/>
      <c r="K2005" s="92"/>
      <c r="M2005" s="92"/>
    </row>
    <row r="2006">
      <c r="A2006" s="103"/>
      <c r="C2006" s="92"/>
      <c r="E2006" s="92"/>
      <c r="F2006" s="105"/>
      <c r="I2006" s="105"/>
      <c r="J2006" s="105"/>
      <c r="K2006" s="92"/>
      <c r="M2006" s="92"/>
    </row>
    <row r="2007">
      <c r="A2007" s="103"/>
      <c r="C2007" s="92"/>
      <c r="E2007" s="92"/>
      <c r="F2007" s="105"/>
      <c r="I2007" s="105"/>
      <c r="J2007" s="105"/>
      <c r="K2007" s="92"/>
      <c r="M2007" s="92"/>
    </row>
    <row r="2008">
      <c r="A2008" s="103"/>
      <c r="C2008" s="92"/>
      <c r="E2008" s="92"/>
      <c r="F2008" s="105"/>
      <c r="I2008" s="105"/>
      <c r="J2008" s="105"/>
      <c r="K2008" s="92"/>
      <c r="M2008" s="92"/>
    </row>
    <row r="2009">
      <c r="A2009" s="103"/>
      <c r="C2009" s="92"/>
      <c r="E2009" s="92"/>
      <c r="F2009" s="105"/>
      <c r="I2009" s="105"/>
      <c r="J2009" s="105"/>
      <c r="K2009" s="92"/>
      <c r="M2009" s="92"/>
    </row>
    <row r="2010">
      <c r="A2010" s="103"/>
      <c r="C2010" s="92"/>
      <c r="E2010" s="92"/>
      <c r="F2010" s="105"/>
      <c r="I2010" s="105"/>
      <c r="J2010" s="105"/>
      <c r="K2010" s="92"/>
      <c r="M2010" s="92"/>
    </row>
    <row r="2011">
      <c r="A2011" s="103"/>
      <c r="C2011" s="92"/>
      <c r="E2011" s="92"/>
      <c r="F2011" s="105"/>
      <c r="I2011" s="105"/>
      <c r="J2011" s="105"/>
      <c r="K2011" s="92"/>
      <c r="M2011" s="92"/>
    </row>
    <row r="2012">
      <c r="A2012" s="103"/>
      <c r="C2012" s="92"/>
      <c r="E2012" s="92"/>
      <c r="F2012" s="105"/>
      <c r="I2012" s="105"/>
      <c r="J2012" s="105"/>
      <c r="K2012" s="92"/>
      <c r="M2012" s="92"/>
    </row>
    <row r="2013">
      <c r="A2013" s="103"/>
      <c r="C2013" s="92"/>
      <c r="E2013" s="92"/>
      <c r="F2013" s="105"/>
      <c r="I2013" s="105"/>
      <c r="J2013" s="105"/>
      <c r="K2013" s="92"/>
      <c r="M2013" s="92"/>
    </row>
    <row r="2014">
      <c r="A2014" s="103"/>
      <c r="C2014" s="92"/>
      <c r="E2014" s="92"/>
      <c r="F2014" s="105"/>
      <c r="I2014" s="105"/>
      <c r="J2014" s="105"/>
      <c r="K2014" s="92"/>
      <c r="M2014" s="92"/>
    </row>
    <row r="2015">
      <c r="A2015" s="103"/>
      <c r="C2015" s="92"/>
      <c r="E2015" s="92"/>
      <c r="F2015" s="105"/>
      <c r="I2015" s="105"/>
      <c r="J2015" s="105"/>
      <c r="K2015" s="92"/>
      <c r="M2015" s="92"/>
    </row>
    <row r="2016">
      <c r="A2016" s="103"/>
      <c r="C2016" s="92"/>
      <c r="E2016" s="92"/>
      <c r="F2016" s="105"/>
      <c r="I2016" s="105"/>
      <c r="J2016" s="105"/>
      <c r="K2016" s="92"/>
      <c r="M2016" s="92"/>
    </row>
    <row r="2017">
      <c r="A2017" s="103"/>
      <c r="C2017" s="92"/>
      <c r="E2017" s="92"/>
      <c r="F2017" s="105"/>
      <c r="I2017" s="105"/>
      <c r="J2017" s="105"/>
      <c r="K2017" s="92"/>
      <c r="M2017" s="92"/>
    </row>
    <row r="2018">
      <c r="A2018" s="103"/>
      <c r="C2018" s="92"/>
      <c r="E2018" s="92"/>
      <c r="F2018" s="105"/>
      <c r="I2018" s="105"/>
      <c r="J2018" s="105"/>
      <c r="K2018" s="92"/>
      <c r="M2018" s="92"/>
    </row>
    <row r="2019">
      <c r="A2019" s="103"/>
      <c r="C2019" s="92"/>
      <c r="E2019" s="92"/>
      <c r="F2019" s="105"/>
      <c r="I2019" s="105"/>
      <c r="J2019" s="105"/>
      <c r="K2019" s="92"/>
      <c r="M2019" s="92"/>
    </row>
    <row r="2020">
      <c r="A2020" s="103"/>
      <c r="C2020" s="92"/>
      <c r="E2020" s="92"/>
      <c r="F2020" s="105"/>
      <c r="I2020" s="105"/>
      <c r="J2020" s="105"/>
      <c r="K2020" s="92"/>
      <c r="M2020" s="92"/>
    </row>
    <row r="2021">
      <c r="A2021" s="103"/>
      <c r="C2021" s="92"/>
      <c r="E2021" s="92"/>
      <c r="F2021" s="105"/>
      <c r="I2021" s="105"/>
      <c r="J2021" s="105"/>
      <c r="K2021" s="92"/>
      <c r="M2021" s="92"/>
    </row>
    <row r="2022">
      <c r="A2022" s="103"/>
      <c r="C2022" s="92"/>
      <c r="E2022" s="92"/>
      <c r="F2022" s="105"/>
      <c r="I2022" s="105"/>
      <c r="J2022" s="105"/>
      <c r="K2022" s="92"/>
      <c r="M2022" s="92"/>
    </row>
    <row r="2023">
      <c r="A2023" s="103"/>
      <c r="C2023" s="92"/>
      <c r="E2023" s="92"/>
      <c r="F2023" s="105"/>
      <c r="I2023" s="105"/>
      <c r="J2023" s="105"/>
      <c r="K2023" s="92"/>
      <c r="M2023" s="92"/>
    </row>
    <row r="2024">
      <c r="A2024" s="103"/>
      <c r="C2024" s="92"/>
      <c r="E2024" s="92"/>
      <c r="F2024" s="105"/>
      <c r="I2024" s="105"/>
      <c r="J2024" s="105"/>
      <c r="K2024" s="92"/>
      <c r="M2024" s="92"/>
    </row>
    <row r="2025">
      <c r="A2025" s="103"/>
      <c r="C2025" s="92"/>
      <c r="E2025" s="92"/>
      <c r="F2025" s="105"/>
      <c r="I2025" s="105"/>
      <c r="J2025" s="105"/>
      <c r="K2025" s="92"/>
      <c r="M2025" s="92"/>
    </row>
    <row r="2026">
      <c r="A2026" s="103"/>
      <c r="C2026" s="92"/>
      <c r="E2026" s="92"/>
      <c r="F2026" s="105"/>
      <c r="I2026" s="105"/>
      <c r="J2026" s="105"/>
      <c r="K2026" s="92"/>
      <c r="M2026" s="92"/>
    </row>
    <row r="2027">
      <c r="A2027" s="103"/>
      <c r="C2027" s="92"/>
      <c r="E2027" s="92"/>
      <c r="F2027" s="105"/>
      <c r="I2027" s="105"/>
      <c r="J2027" s="105"/>
      <c r="K2027" s="92"/>
      <c r="M2027" s="92"/>
    </row>
    <row r="2028">
      <c r="A2028" s="103"/>
      <c r="C2028" s="92"/>
      <c r="E2028" s="92"/>
      <c r="F2028" s="105"/>
      <c r="I2028" s="105"/>
      <c r="J2028" s="105"/>
      <c r="K2028" s="92"/>
      <c r="M2028" s="92"/>
    </row>
    <row r="2029">
      <c r="A2029" s="103"/>
      <c r="C2029" s="92"/>
      <c r="E2029" s="92"/>
      <c r="F2029" s="105"/>
      <c r="I2029" s="105"/>
      <c r="J2029" s="105"/>
      <c r="K2029" s="92"/>
      <c r="M2029" s="92"/>
    </row>
    <row r="2030">
      <c r="A2030" s="103"/>
      <c r="C2030" s="92"/>
      <c r="E2030" s="92"/>
      <c r="F2030" s="105"/>
      <c r="I2030" s="105"/>
      <c r="J2030" s="105"/>
      <c r="K2030" s="92"/>
      <c r="M2030" s="92"/>
    </row>
    <row r="2031">
      <c r="A2031" s="103"/>
      <c r="C2031" s="92"/>
      <c r="E2031" s="92"/>
      <c r="F2031" s="105"/>
      <c r="I2031" s="105"/>
      <c r="J2031" s="105"/>
      <c r="K2031" s="92"/>
      <c r="M2031" s="92"/>
    </row>
    <row r="2032">
      <c r="A2032" s="103"/>
      <c r="C2032" s="92"/>
      <c r="E2032" s="92"/>
      <c r="F2032" s="105"/>
      <c r="I2032" s="105"/>
      <c r="J2032" s="105"/>
      <c r="K2032" s="92"/>
      <c r="M2032" s="92"/>
    </row>
    <row r="2033">
      <c r="A2033" s="103"/>
      <c r="C2033" s="92"/>
      <c r="E2033" s="92"/>
      <c r="F2033" s="105"/>
      <c r="I2033" s="105"/>
      <c r="J2033" s="105"/>
      <c r="K2033" s="92"/>
      <c r="M2033" s="92"/>
    </row>
    <row r="2034">
      <c r="A2034" s="103"/>
      <c r="C2034" s="92"/>
      <c r="E2034" s="92"/>
      <c r="F2034" s="105"/>
      <c r="I2034" s="105"/>
      <c r="J2034" s="105"/>
      <c r="K2034" s="92"/>
      <c r="M2034" s="92"/>
    </row>
    <row r="2035">
      <c r="A2035" s="103"/>
      <c r="C2035" s="92"/>
      <c r="E2035" s="92"/>
      <c r="F2035" s="105"/>
      <c r="I2035" s="105"/>
      <c r="J2035" s="105"/>
      <c r="K2035" s="92"/>
      <c r="M2035" s="92"/>
    </row>
    <row r="2036">
      <c r="A2036" s="103"/>
      <c r="C2036" s="92"/>
      <c r="E2036" s="92"/>
      <c r="F2036" s="105"/>
      <c r="I2036" s="105"/>
      <c r="J2036" s="105"/>
      <c r="K2036" s="92"/>
      <c r="M2036" s="92"/>
    </row>
    <row r="2037">
      <c r="A2037" s="103"/>
      <c r="C2037" s="92"/>
      <c r="E2037" s="92"/>
      <c r="F2037" s="105"/>
      <c r="I2037" s="105"/>
      <c r="J2037" s="105"/>
      <c r="K2037" s="92"/>
      <c r="M2037" s="92"/>
    </row>
    <row r="2038">
      <c r="A2038" s="103"/>
      <c r="C2038" s="92"/>
      <c r="E2038" s="92"/>
      <c r="F2038" s="105"/>
      <c r="I2038" s="105"/>
      <c r="J2038" s="105"/>
      <c r="K2038" s="92"/>
      <c r="M2038" s="92"/>
    </row>
    <row r="2039">
      <c r="A2039" s="103"/>
      <c r="C2039" s="92"/>
      <c r="E2039" s="92"/>
      <c r="F2039" s="105"/>
      <c r="I2039" s="105"/>
      <c r="J2039" s="105"/>
      <c r="K2039" s="92"/>
      <c r="M2039" s="92"/>
    </row>
    <row r="2040">
      <c r="A2040" s="103"/>
      <c r="C2040" s="92"/>
      <c r="E2040" s="92"/>
      <c r="F2040" s="105"/>
      <c r="I2040" s="105"/>
      <c r="J2040" s="105"/>
      <c r="K2040" s="92"/>
      <c r="M2040" s="92"/>
    </row>
    <row r="2041">
      <c r="A2041" s="103"/>
      <c r="C2041" s="92"/>
      <c r="E2041" s="92"/>
      <c r="F2041" s="105"/>
      <c r="I2041" s="105"/>
      <c r="J2041" s="105"/>
      <c r="K2041" s="92"/>
      <c r="M2041" s="92"/>
    </row>
    <row r="2042">
      <c r="A2042" s="103"/>
      <c r="C2042" s="92"/>
      <c r="E2042" s="92"/>
      <c r="F2042" s="105"/>
      <c r="I2042" s="105"/>
      <c r="J2042" s="105"/>
      <c r="K2042" s="92"/>
      <c r="M2042" s="92"/>
    </row>
    <row r="2043">
      <c r="A2043" s="103"/>
      <c r="C2043" s="92"/>
      <c r="E2043" s="92"/>
      <c r="F2043" s="105"/>
      <c r="I2043" s="105"/>
      <c r="J2043" s="105"/>
      <c r="K2043" s="92"/>
      <c r="M2043" s="92"/>
    </row>
    <row r="2044">
      <c r="A2044" s="103"/>
      <c r="C2044" s="92"/>
      <c r="E2044" s="92"/>
      <c r="F2044" s="105"/>
      <c r="I2044" s="105"/>
      <c r="J2044" s="105"/>
      <c r="K2044" s="92"/>
      <c r="M2044" s="92"/>
    </row>
    <row r="2045">
      <c r="A2045" s="103"/>
      <c r="C2045" s="92"/>
      <c r="E2045" s="92"/>
      <c r="F2045" s="105"/>
      <c r="I2045" s="105"/>
      <c r="J2045" s="105"/>
      <c r="K2045" s="92"/>
      <c r="M2045" s="92"/>
    </row>
    <row r="2046">
      <c r="A2046" s="103"/>
      <c r="C2046" s="92"/>
      <c r="E2046" s="92"/>
      <c r="F2046" s="105"/>
      <c r="I2046" s="105"/>
      <c r="J2046" s="105"/>
      <c r="K2046" s="92"/>
      <c r="M2046" s="92"/>
    </row>
    <row r="2047">
      <c r="A2047" s="103"/>
      <c r="C2047" s="92"/>
      <c r="E2047" s="92"/>
      <c r="F2047" s="105"/>
      <c r="I2047" s="105"/>
      <c r="J2047" s="105"/>
      <c r="K2047" s="92"/>
      <c r="M2047" s="92"/>
    </row>
    <row r="2048">
      <c r="A2048" s="103"/>
      <c r="C2048" s="92"/>
      <c r="E2048" s="92"/>
      <c r="F2048" s="105"/>
      <c r="I2048" s="105"/>
      <c r="J2048" s="105"/>
      <c r="K2048" s="92"/>
      <c r="M2048" s="92"/>
    </row>
    <row r="2049">
      <c r="A2049" s="103"/>
      <c r="C2049" s="92"/>
      <c r="E2049" s="92"/>
      <c r="F2049" s="105"/>
      <c r="I2049" s="105"/>
      <c r="J2049" s="105"/>
      <c r="K2049" s="92"/>
      <c r="M2049" s="92"/>
    </row>
    <row r="2050">
      <c r="A2050" s="103"/>
      <c r="C2050" s="92"/>
      <c r="E2050" s="92"/>
      <c r="F2050" s="105"/>
      <c r="I2050" s="105"/>
      <c r="J2050" s="105"/>
      <c r="K2050" s="92"/>
      <c r="M2050" s="92"/>
    </row>
    <row r="2051">
      <c r="A2051" s="103"/>
      <c r="C2051" s="92"/>
      <c r="E2051" s="92"/>
      <c r="F2051" s="105"/>
      <c r="I2051" s="105"/>
      <c r="J2051" s="105"/>
      <c r="K2051" s="92"/>
      <c r="M2051" s="92"/>
    </row>
    <row r="2052">
      <c r="A2052" s="103"/>
      <c r="C2052" s="92"/>
      <c r="E2052" s="92"/>
      <c r="F2052" s="105"/>
      <c r="I2052" s="105"/>
      <c r="J2052" s="105"/>
      <c r="K2052" s="92"/>
      <c r="M2052" s="92"/>
    </row>
    <row r="2053">
      <c r="A2053" s="103"/>
      <c r="C2053" s="92"/>
      <c r="E2053" s="92"/>
      <c r="F2053" s="105"/>
      <c r="I2053" s="105"/>
      <c r="J2053" s="105"/>
      <c r="K2053" s="92"/>
      <c r="M2053" s="92"/>
    </row>
    <row r="2054">
      <c r="A2054" s="103"/>
      <c r="C2054" s="92"/>
      <c r="E2054" s="92"/>
      <c r="F2054" s="105"/>
      <c r="I2054" s="105"/>
      <c r="J2054" s="105"/>
      <c r="K2054" s="92"/>
      <c r="M2054" s="92"/>
    </row>
    <row r="2055">
      <c r="A2055" s="103"/>
      <c r="C2055" s="92"/>
      <c r="E2055" s="92"/>
      <c r="F2055" s="105"/>
      <c r="I2055" s="105"/>
      <c r="J2055" s="105"/>
      <c r="K2055" s="92"/>
      <c r="M2055" s="92"/>
    </row>
    <row r="2056">
      <c r="A2056" s="103"/>
      <c r="C2056" s="92"/>
      <c r="E2056" s="92"/>
      <c r="F2056" s="105"/>
      <c r="I2056" s="105"/>
      <c r="J2056" s="105"/>
      <c r="K2056" s="92"/>
      <c r="M2056" s="92"/>
    </row>
    <row r="2057">
      <c r="A2057" s="103"/>
      <c r="C2057" s="92"/>
      <c r="E2057" s="92"/>
      <c r="F2057" s="105"/>
      <c r="I2057" s="105"/>
      <c r="J2057" s="105"/>
      <c r="K2057" s="92"/>
      <c r="M2057" s="92"/>
    </row>
    <row r="2058">
      <c r="A2058" s="103"/>
      <c r="C2058" s="92"/>
      <c r="E2058" s="92"/>
      <c r="F2058" s="105"/>
      <c r="I2058" s="105"/>
      <c r="J2058" s="105"/>
      <c r="K2058" s="92"/>
      <c r="M2058" s="92"/>
    </row>
    <row r="2059">
      <c r="A2059" s="103"/>
      <c r="C2059" s="92"/>
      <c r="E2059" s="92"/>
      <c r="F2059" s="105"/>
      <c r="I2059" s="105"/>
      <c r="J2059" s="105"/>
      <c r="K2059" s="92"/>
      <c r="M2059" s="92"/>
    </row>
    <row r="2060">
      <c r="A2060" s="103"/>
      <c r="C2060" s="92"/>
      <c r="E2060" s="92"/>
      <c r="F2060" s="105"/>
      <c r="I2060" s="105"/>
      <c r="J2060" s="105"/>
      <c r="K2060" s="92"/>
      <c r="M2060" s="92"/>
    </row>
    <row r="2061">
      <c r="A2061" s="103"/>
      <c r="C2061" s="92"/>
      <c r="E2061" s="92"/>
      <c r="F2061" s="105"/>
      <c r="I2061" s="105"/>
      <c r="J2061" s="105"/>
      <c r="K2061" s="92"/>
      <c r="M2061" s="92"/>
    </row>
    <row r="2062">
      <c r="A2062" s="103"/>
      <c r="C2062" s="92"/>
      <c r="E2062" s="92"/>
      <c r="F2062" s="105"/>
      <c r="I2062" s="105"/>
      <c r="J2062" s="105"/>
      <c r="K2062" s="92"/>
      <c r="M2062" s="92"/>
    </row>
    <row r="2063">
      <c r="A2063" s="103"/>
      <c r="C2063" s="92"/>
      <c r="E2063" s="92"/>
      <c r="F2063" s="105"/>
      <c r="I2063" s="105"/>
      <c r="J2063" s="105"/>
      <c r="K2063" s="92"/>
      <c r="M2063" s="92"/>
    </row>
    <row r="2064">
      <c r="A2064" s="103"/>
      <c r="C2064" s="92"/>
      <c r="E2064" s="92"/>
      <c r="F2064" s="105"/>
      <c r="I2064" s="105"/>
      <c r="J2064" s="105"/>
      <c r="K2064" s="92"/>
      <c r="M2064" s="92"/>
    </row>
    <row r="2065">
      <c r="A2065" s="103"/>
      <c r="C2065" s="92"/>
      <c r="E2065" s="92"/>
      <c r="F2065" s="105"/>
      <c r="I2065" s="105"/>
      <c r="J2065" s="105"/>
      <c r="K2065" s="92"/>
      <c r="M2065" s="92"/>
    </row>
    <row r="2066">
      <c r="A2066" s="103"/>
      <c r="C2066" s="92"/>
      <c r="E2066" s="92"/>
      <c r="F2066" s="105"/>
      <c r="I2066" s="105"/>
      <c r="J2066" s="105"/>
      <c r="K2066" s="92"/>
      <c r="M2066" s="92"/>
    </row>
    <row r="2067">
      <c r="A2067" s="103"/>
      <c r="C2067" s="92"/>
      <c r="E2067" s="92"/>
      <c r="F2067" s="105"/>
      <c r="I2067" s="105"/>
      <c r="J2067" s="105"/>
      <c r="K2067" s="92"/>
      <c r="M2067" s="92"/>
    </row>
    <row r="2068">
      <c r="A2068" s="103"/>
      <c r="C2068" s="92"/>
      <c r="E2068" s="92"/>
      <c r="F2068" s="105"/>
      <c r="I2068" s="105"/>
      <c r="J2068" s="105"/>
      <c r="K2068" s="92"/>
      <c r="M2068" s="92"/>
    </row>
    <row r="2069">
      <c r="A2069" s="103"/>
      <c r="C2069" s="92"/>
      <c r="E2069" s="92"/>
      <c r="F2069" s="105"/>
      <c r="I2069" s="105"/>
      <c r="J2069" s="105"/>
      <c r="K2069" s="92"/>
      <c r="M2069" s="92"/>
    </row>
    <row r="2070">
      <c r="A2070" s="103"/>
      <c r="C2070" s="92"/>
      <c r="E2070" s="92"/>
      <c r="F2070" s="105"/>
      <c r="I2070" s="105"/>
      <c r="J2070" s="105"/>
      <c r="K2070" s="92"/>
      <c r="M2070" s="92"/>
    </row>
    <row r="2071">
      <c r="A2071" s="103"/>
      <c r="C2071" s="92"/>
      <c r="E2071" s="92"/>
      <c r="F2071" s="105"/>
      <c r="I2071" s="105"/>
      <c r="J2071" s="105"/>
      <c r="K2071" s="92"/>
      <c r="M2071" s="92"/>
    </row>
    <row r="2072">
      <c r="A2072" s="103"/>
      <c r="C2072" s="92"/>
      <c r="E2072" s="92"/>
      <c r="F2072" s="105"/>
      <c r="I2072" s="105"/>
      <c r="J2072" s="105"/>
      <c r="K2072" s="92"/>
      <c r="M2072" s="92"/>
    </row>
    <row r="2073">
      <c r="A2073" s="103"/>
      <c r="C2073" s="92"/>
      <c r="E2073" s="92"/>
      <c r="F2073" s="105"/>
      <c r="I2073" s="105"/>
      <c r="J2073" s="105"/>
      <c r="K2073" s="92"/>
      <c r="M2073" s="92"/>
    </row>
    <row r="2074">
      <c r="A2074" s="103"/>
      <c r="C2074" s="92"/>
      <c r="E2074" s="92"/>
      <c r="F2074" s="105"/>
      <c r="I2074" s="105"/>
      <c r="J2074" s="105"/>
      <c r="K2074" s="92"/>
      <c r="M2074" s="92"/>
    </row>
    <row r="2075">
      <c r="A2075" s="103"/>
      <c r="C2075" s="92"/>
      <c r="E2075" s="92"/>
      <c r="F2075" s="105"/>
      <c r="I2075" s="105"/>
      <c r="J2075" s="105"/>
      <c r="K2075" s="92"/>
      <c r="M2075" s="92"/>
    </row>
    <row r="2076">
      <c r="A2076" s="103"/>
      <c r="C2076" s="92"/>
      <c r="E2076" s="92"/>
      <c r="F2076" s="105"/>
      <c r="I2076" s="105"/>
      <c r="J2076" s="105"/>
      <c r="K2076" s="92"/>
      <c r="M2076" s="92"/>
    </row>
    <row r="2077">
      <c r="A2077" s="103"/>
      <c r="C2077" s="92"/>
      <c r="E2077" s="92"/>
      <c r="F2077" s="105"/>
      <c r="I2077" s="105"/>
      <c r="J2077" s="105"/>
      <c r="K2077" s="92"/>
      <c r="M2077" s="92"/>
    </row>
    <row r="2078">
      <c r="A2078" s="103"/>
      <c r="C2078" s="92"/>
      <c r="E2078" s="92"/>
      <c r="F2078" s="105"/>
      <c r="I2078" s="105"/>
      <c r="J2078" s="105"/>
      <c r="K2078" s="92"/>
      <c r="M2078" s="92"/>
    </row>
    <row r="2079">
      <c r="A2079" s="103"/>
      <c r="C2079" s="92"/>
      <c r="E2079" s="92"/>
      <c r="F2079" s="105"/>
      <c r="I2079" s="105"/>
      <c r="J2079" s="105"/>
      <c r="K2079" s="92"/>
      <c r="M2079" s="92"/>
    </row>
    <row r="2080">
      <c r="A2080" s="103"/>
      <c r="C2080" s="92"/>
      <c r="E2080" s="92"/>
      <c r="F2080" s="105"/>
      <c r="I2080" s="105"/>
      <c r="J2080" s="105"/>
      <c r="K2080" s="92"/>
      <c r="M2080" s="92"/>
    </row>
    <row r="2081">
      <c r="A2081" s="103"/>
      <c r="C2081" s="92"/>
      <c r="E2081" s="92"/>
      <c r="F2081" s="105"/>
      <c r="I2081" s="105"/>
      <c r="J2081" s="105"/>
      <c r="K2081" s="92"/>
      <c r="M2081" s="92"/>
    </row>
    <row r="2082">
      <c r="A2082" s="103"/>
      <c r="C2082" s="92"/>
      <c r="E2082" s="92"/>
      <c r="F2082" s="105"/>
      <c r="I2082" s="105"/>
      <c r="J2082" s="105"/>
      <c r="K2082" s="92"/>
      <c r="M2082" s="92"/>
    </row>
    <row r="2083">
      <c r="A2083" s="103"/>
      <c r="C2083" s="92"/>
      <c r="E2083" s="92"/>
      <c r="F2083" s="105"/>
      <c r="I2083" s="105"/>
      <c r="J2083" s="105"/>
      <c r="K2083" s="92"/>
      <c r="M2083" s="92"/>
    </row>
    <row r="2084">
      <c r="A2084" s="103"/>
      <c r="C2084" s="92"/>
      <c r="E2084" s="92"/>
      <c r="F2084" s="105"/>
      <c r="I2084" s="105"/>
      <c r="J2084" s="105"/>
      <c r="K2084" s="92"/>
      <c r="M2084" s="92"/>
    </row>
    <row r="2085">
      <c r="A2085" s="103"/>
      <c r="C2085" s="92"/>
      <c r="E2085" s="92"/>
      <c r="F2085" s="105"/>
      <c r="I2085" s="105"/>
      <c r="J2085" s="105"/>
      <c r="K2085" s="92"/>
      <c r="M2085" s="92"/>
    </row>
    <row r="2086">
      <c r="A2086" s="103"/>
      <c r="C2086" s="92"/>
      <c r="E2086" s="92"/>
      <c r="F2086" s="105"/>
      <c r="I2086" s="105"/>
      <c r="J2086" s="105"/>
      <c r="K2086" s="92"/>
      <c r="M2086" s="92"/>
    </row>
    <row r="2087">
      <c r="A2087" s="103"/>
      <c r="C2087" s="92"/>
      <c r="E2087" s="92"/>
      <c r="F2087" s="105"/>
      <c r="I2087" s="105"/>
      <c r="J2087" s="105"/>
      <c r="K2087" s="92"/>
      <c r="M2087" s="92"/>
    </row>
    <row r="2088">
      <c r="A2088" s="103"/>
      <c r="C2088" s="92"/>
      <c r="E2088" s="92"/>
      <c r="F2088" s="105"/>
      <c r="I2088" s="105"/>
      <c r="J2088" s="105"/>
      <c r="K2088" s="92"/>
      <c r="M2088" s="92"/>
    </row>
    <row r="2089">
      <c r="A2089" s="103"/>
      <c r="C2089" s="92"/>
      <c r="E2089" s="92"/>
      <c r="F2089" s="105"/>
      <c r="I2089" s="105"/>
      <c r="J2089" s="105"/>
      <c r="K2089" s="92"/>
      <c r="M2089" s="92"/>
    </row>
    <row r="2090">
      <c r="A2090" s="103"/>
      <c r="C2090" s="92"/>
      <c r="E2090" s="92"/>
      <c r="F2090" s="105"/>
      <c r="I2090" s="105"/>
      <c r="J2090" s="105"/>
      <c r="K2090" s="92"/>
      <c r="M2090" s="92"/>
    </row>
    <row r="2091">
      <c r="A2091" s="103"/>
      <c r="C2091" s="92"/>
      <c r="E2091" s="92"/>
      <c r="F2091" s="105"/>
      <c r="I2091" s="105"/>
      <c r="J2091" s="105"/>
      <c r="K2091" s="92"/>
      <c r="M2091" s="92"/>
    </row>
    <row r="2092">
      <c r="A2092" s="103"/>
      <c r="C2092" s="92"/>
      <c r="E2092" s="92"/>
      <c r="F2092" s="105"/>
      <c r="I2092" s="105"/>
      <c r="J2092" s="105"/>
      <c r="K2092" s="92"/>
      <c r="M2092" s="92"/>
    </row>
    <row r="2093">
      <c r="A2093" s="103"/>
      <c r="C2093" s="92"/>
      <c r="E2093" s="92"/>
      <c r="F2093" s="105"/>
      <c r="I2093" s="105"/>
      <c r="J2093" s="105"/>
      <c r="K2093" s="92"/>
      <c r="M2093" s="92"/>
    </row>
    <row r="2094">
      <c r="A2094" s="103"/>
      <c r="C2094" s="92"/>
      <c r="E2094" s="92"/>
      <c r="F2094" s="105"/>
      <c r="I2094" s="105"/>
      <c r="J2094" s="105"/>
      <c r="K2094" s="92"/>
      <c r="M2094" s="92"/>
    </row>
    <row r="2095">
      <c r="A2095" s="103"/>
      <c r="C2095" s="92"/>
      <c r="E2095" s="92"/>
      <c r="F2095" s="105"/>
      <c r="I2095" s="105"/>
      <c r="J2095" s="105"/>
      <c r="K2095" s="92"/>
      <c r="M2095" s="92"/>
    </row>
    <row r="2096">
      <c r="A2096" s="103"/>
      <c r="C2096" s="92"/>
      <c r="E2096" s="92"/>
      <c r="F2096" s="105"/>
      <c r="I2096" s="105"/>
      <c r="J2096" s="105"/>
      <c r="K2096" s="92"/>
      <c r="M2096" s="92"/>
    </row>
    <row r="2097">
      <c r="A2097" s="103"/>
      <c r="C2097" s="92"/>
      <c r="E2097" s="92"/>
      <c r="F2097" s="105"/>
      <c r="I2097" s="105"/>
      <c r="J2097" s="105"/>
      <c r="K2097" s="92"/>
      <c r="M2097" s="92"/>
    </row>
    <row r="2098">
      <c r="A2098" s="103"/>
      <c r="C2098" s="92"/>
      <c r="E2098" s="92"/>
      <c r="F2098" s="105"/>
      <c r="I2098" s="105"/>
      <c r="J2098" s="105"/>
      <c r="K2098" s="92"/>
      <c r="M2098" s="92"/>
    </row>
    <row r="2099">
      <c r="A2099" s="103"/>
      <c r="C2099" s="92"/>
      <c r="E2099" s="92"/>
      <c r="F2099" s="105"/>
      <c r="I2099" s="105"/>
      <c r="J2099" s="105"/>
      <c r="K2099" s="92"/>
      <c r="M2099" s="92"/>
    </row>
    <row r="2100">
      <c r="A2100" s="103"/>
      <c r="C2100" s="92"/>
      <c r="E2100" s="92"/>
      <c r="F2100" s="105"/>
      <c r="I2100" s="105"/>
      <c r="J2100" s="105"/>
      <c r="K2100" s="92"/>
      <c r="M2100" s="92"/>
    </row>
    <row r="2101">
      <c r="A2101" s="103"/>
      <c r="C2101" s="92"/>
      <c r="E2101" s="92"/>
      <c r="F2101" s="105"/>
      <c r="I2101" s="105"/>
      <c r="J2101" s="105"/>
      <c r="K2101" s="92"/>
      <c r="M2101" s="92"/>
    </row>
    <row r="2102">
      <c r="A2102" s="103"/>
      <c r="C2102" s="92"/>
      <c r="E2102" s="92"/>
      <c r="F2102" s="105"/>
      <c r="I2102" s="105"/>
      <c r="J2102" s="105"/>
      <c r="K2102" s="92"/>
      <c r="M2102" s="92"/>
    </row>
    <row r="2103">
      <c r="A2103" s="103"/>
      <c r="C2103" s="92"/>
      <c r="E2103" s="92"/>
      <c r="F2103" s="105"/>
      <c r="I2103" s="105"/>
      <c r="J2103" s="105"/>
      <c r="K2103" s="92"/>
      <c r="M2103" s="92"/>
    </row>
    <row r="2104">
      <c r="A2104" s="103"/>
      <c r="C2104" s="92"/>
      <c r="E2104" s="92"/>
      <c r="F2104" s="105"/>
      <c r="I2104" s="105"/>
      <c r="J2104" s="105"/>
      <c r="K2104" s="92"/>
      <c r="M2104" s="92"/>
    </row>
    <row r="2105">
      <c r="A2105" s="103"/>
      <c r="C2105" s="92"/>
      <c r="E2105" s="92"/>
      <c r="F2105" s="105"/>
      <c r="I2105" s="105"/>
      <c r="J2105" s="105"/>
      <c r="K2105" s="92"/>
      <c r="M2105" s="92"/>
    </row>
    <row r="2106">
      <c r="A2106" s="103"/>
      <c r="C2106" s="92"/>
      <c r="E2106" s="92"/>
      <c r="F2106" s="105"/>
      <c r="I2106" s="105"/>
      <c r="J2106" s="105"/>
      <c r="K2106" s="92"/>
      <c r="M2106" s="92"/>
    </row>
    <row r="2107">
      <c r="A2107" s="103"/>
      <c r="C2107" s="92"/>
      <c r="E2107" s="92"/>
      <c r="F2107" s="105"/>
      <c r="I2107" s="105"/>
      <c r="J2107" s="105"/>
      <c r="K2107" s="92"/>
      <c r="M2107" s="92"/>
    </row>
    <row r="2108">
      <c r="A2108" s="103"/>
      <c r="C2108" s="92"/>
      <c r="E2108" s="92"/>
      <c r="F2108" s="105"/>
      <c r="I2108" s="105"/>
      <c r="J2108" s="105"/>
      <c r="K2108" s="92"/>
      <c r="M2108" s="92"/>
    </row>
    <row r="2109">
      <c r="A2109" s="103"/>
      <c r="C2109" s="92"/>
      <c r="E2109" s="92"/>
      <c r="F2109" s="105"/>
      <c r="I2109" s="105"/>
      <c r="J2109" s="105"/>
      <c r="K2109" s="92"/>
      <c r="M2109" s="92"/>
    </row>
    <row r="2110">
      <c r="A2110" s="103"/>
      <c r="C2110" s="92"/>
      <c r="E2110" s="92"/>
      <c r="F2110" s="105"/>
      <c r="I2110" s="105"/>
      <c r="J2110" s="105"/>
      <c r="K2110" s="92"/>
      <c r="M2110" s="92"/>
    </row>
    <row r="2111">
      <c r="A2111" s="103"/>
      <c r="C2111" s="92"/>
      <c r="E2111" s="92"/>
      <c r="F2111" s="105"/>
      <c r="I2111" s="105"/>
      <c r="J2111" s="105"/>
      <c r="K2111" s="92"/>
      <c r="M2111" s="92"/>
    </row>
    <row r="2112">
      <c r="A2112" s="103"/>
      <c r="C2112" s="92"/>
      <c r="E2112" s="92"/>
      <c r="F2112" s="105"/>
      <c r="I2112" s="105"/>
      <c r="J2112" s="105"/>
      <c r="K2112" s="92"/>
      <c r="M2112" s="92"/>
    </row>
    <row r="2113">
      <c r="A2113" s="103"/>
      <c r="C2113" s="92"/>
      <c r="E2113" s="92"/>
      <c r="F2113" s="105"/>
      <c r="I2113" s="105"/>
      <c r="J2113" s="105"/>
      <c r="K2113" s="92"/>
      <c r="M2113" s="92"/>
    </row>
    <row r="2114">
      <c r="A2114" s="103"/>
      <c r="C2114" s="92"/>
      <c r="E2114" s="92"/>
      <c r="F2114" s="105"/>
      <c r="I2114" s="105"/>
      <c r="J2114" s="105"/>
      <c r="K2114" s="92"/>
      <c r="M2114" s="92"/>
    </row>
    <row r="2115">
      <c r="A2115" s="103"/>
      <c r="C2115" s="92"/>
      <c r="E2115" s="92"/>
      <c r="F2115" s="105"/>
      <c r="I2115" s="105"/>
      <c r="J2115" s="105"/>
      <c r="K2115" s="92"/>
      <c r="M2115" s="92"/>
    </row>
    <row r="2116">
      <c r="A2116" s="103"/>
      <c r="C2116" s="92"/>
      <c r="E2116" s="92"/>
      <c r="F2116" s="105"/>
      <c r="I2116" s="105"/>
      <c r="J2116" s="105"/>
      <c r="K2116" s="92"/>
      <c r="M2116" s="92"/>
    </row>
    <row r="2117">
      <c r="A2117" s="103"/>
      <c r="C2117" s="92"/>
      <c r="E2117" s="92"/>
      <c r="F2117" s="105"/>
      <c r="I2117" s="105"/>
      <c r="J2117" s="105"/>
      <c r="K2117" s="92"/>
      <c r="M2117" s="92"/>
    </row>
    <row r="2118">
      <c r="A2118" s="103"/>
      <c r="C2118" s="92"/>
      <c r="E2118" s="92"/>
      <c r="F2118" s="105"/>
      <c r="I2118" s="105"/>
      <c r="J2118" s="105"/>
      <c r="K2118" s="92"/>
      <c r="M2118" s="92"/>
    </row>
    <row r="2119">
      <c r="A2119" s="103"/>
      <c r="C2119" s="92"/>
      <c r="E2119" s="92"/>
      <c r="F2119" s="105"/>
      <c r="I2119" s="105"/>
      <c r="J2119" s="105"/>
      <c r="K2119" s="92"/>
      <c r="M2119" s="92"/>
    </row>
    <row r="2120">
      <c r="A2120" s="103"/>
      <c r="C2120" s="92"/>
      <c r="E2120" s="92"/>
      <c r="F2120" s="105"/>
      <c r="I2120" s="105"/>
      <c r="J2120" s="105"/>
      <c r="K2120" s="92"/>
      <c r="M2120" s="92"/>
    </row>
    <row r="2121">
      <c r="A2121" s="103"/>
      <c r="C2121" s="92"/>
      <c r="E2121" s="92"/>
      <c r="F2121" s="105"/>
      <c r="I2121" s="105"/>
      <c r="J2121" s="105"/>
      <c r="K2121" s="92"/>
      <c r="M2121" s="92"/>
    </row>
    <row r="2122">
      <c r="A2122" s="103"/>
      <c r="C2122" s="92"/>
      <c r="E2122" s="92"/>
      <c r="F2122" s="105"/>
      <c r="I2122" s="105"/>
      <c r="J2122" s="105"/>
      <c r="K2122" s="92"/>
      <c r="M2122" s="92"/>
    </row>
    <row r="2123">
      <c r="A2123" s="103"/>
      <c r="C2123" s="92"/>
      <c r="E2123" s="92"/>
      <c r="F2123" s="105"/>
      <c r="I2123" s="105"/>
      <c r="J2123" s="105"/>
      <c r="K2123" s="92"/>
      <c r="M2123" s="92"/>
    </row>
    <row r="2124">
      <c r="A2124" s="103"/>
      <c r="C2124" s="92"/>
      <c r="E2124" s="92"/>
      <c r="F2124" s="105"/>
      <c r="I2124" s="105"/>
      <c r="J2124" s="105"/>
      <c r="K2124" s="92"/>
      <c r="M2124" s="92"/>
    </row>
    <row r="2125">
      <c r="A2125" s="103"/>
      <c r="C2125" s="92"/>
      <c r="E2125" s="92"/>
      <c r="F2125" s="105"/>
      <c r="I2125" s="105"/>
      <c r="J2125" s="105"/>
      <c r="K2125" s="92"/>
      <c r="M2125" s="92"/>
    </row>
    <row r="2126">
      <c r="A2126" s="103"/>
      <c r="C2126" s="92"/>
      <c r="E2126" s="92"/>
      <c r="F2126" s="105"/>
      <c r="I2126" s="105"/>
      <c r="J2126" s="105"/>
      <c r="K2126" s="92"/>
      <c r="M2126" s="92"/>
    </row>
    <row r="2127">
      <c r="A2127" s="103"/>
      <c r="C2127" s="92"/>
      <c r="E2127" s="92"/>
      <c r="F2127" s="105"/>
      <c r="I2127" s="105"/>
      <c r="J2127" s="105"/>
      <c r="K2127" s="92"/>
      <c r="M2127" s="92"/>
    </row>
    <row r="2128">
      <c r="A2128" s="103"/>
      <c r="C2128" s="92"/>
      <c r="E2128" s="92"/>
      <c r="F2128" s="105"/>
      <c r="I2128" s="105"/>
      <c r="J2128" s="105"/>
      <c r="K2128" s="92"/>
      <c r="M2128" s="92"/>
    </row>
    <row r="2129">
      <c r="A2129" s="103"/>
      <c r="C2129" s="92"/>
      <c r="E2129" s="92"/>
      <c r="F2129" s="105"/>
      <c r="I2129" s="105"/>
      <c r="J2129" s="105"/>
      <c r="K2129" s="92"/>
      <c r="M2129" s="92"/>
    </row>
    <row r="2130">
      <c r="A2130" s="103"/>
      <c r="C2130" s="92"/>
      <c r="E2130" s="92"/>
      <c r="F2130" s="105"/>
      <c r="I2130" s="105"/>
      <c r="J2130" s="105"/>
      <c r="K2130" s="92"/>
      <c r="M2130" s="92"/>
    </row>
    <row r="2131">
      <c r="A2131" s="103"/>
      <c r="C2131" s="92"/>
      <c r="E2131" s="92"/>
      <c r="F2131" s="105"/>
      <c r="I2131" s="105"/>
      <c r="J2131" s="105"/>
      <c r="K2131" s="92"/>
      <c r="M2131" s="92"/>
    </row>
    <row r="2132">
      <c r="A2132" s="103"/>
      <c r="C2132" s="92"/>
      <c r="E2132" s="92"/>
      <c r="F2132" s="105"/>
      <c r="I2132" s="105"/>
      <c r="J2132" s="105"/>
      <c r="K2132" s="92"/>
      <c r="M2132" s="92"/>
    </row>
    <row r="2133">
      <c r="A2133" s="103"/>
      <c r="C2133" s="92"/>
      <c r="E2133" s="92"/>
      <c r="F2133" s="105"/>
      <c r="I2133" s="105"/>
      <c r="J2133" s="105"/>
      <c r="K2133" s="92"/>
      <c r="M2133" s="92"/>
    </row>
    <row r="2134">
      <c r="A2134" s="103"/>
      <c r="C2134" s="92"/>
      <c r="E2134" s="92"/>
      <c r="F2134" s="105"/>
      <c r="I2134" s="105"/>
      <c r="J2134" s="105"/>
      <c r="K2134" s="92"/>
      <c r="M2134" s="92"/>
    </row>
    <row r="2135">
      <c r="A2135" s="103"/>
      <c r="C2135" s="92"/>
      <c r="E2135" s="92"/>
      <c r="F2135" s="105"/>
      <c r="I2135" s="105"/>
      <c r="J2135" s="105"/>
      <c r="K2135" s="92"/>
      <c r="M2135" s="92"/>
    </row>
    <row r="2136">
      <c r="A2136" s="103"/>
      <c r="C2136" s="92"/>
      <c r="E2136" s="92"/>
      <c r="F2136" s="105"/>
      <c r="I2136" s="105"/>
      <c r="J2136" s="105"/>
      <c r="K2136" s="92"/>
      <c r="M2136" s="92"/>
    </row>
    <row r="2137">
      <c r="A2137" s="103"/>
      <c r="C2137" s="92"/>
      <c r="E2137" s="92"/>
      <c r="F2137" s="105"/>
      <c r="I2137" s="105"/>
      <c r="J2137" s="105"/>
      <c r="K2137" s="92"/>
      <c r="M2137" s="92"/>
    </row>
    <row r="2138">
      <c r="A2138" s="103"/>
      <c r="C2138" s="92"/>
      <c r="E2138" s="92"/>
      <c r="F2138" s="105"/>
      <c r="I2138" s="105"/>
      <c r="J2138" s="105"/>
      <c r="K2138" s="92"/>
      <c r="M2138" s="92"/>
    </row>
    <row r="2139">
      <c r="A2139" s="103"/>
      <c r="C2139" s="92"/>
      <c r="E2139" s="92"/>
      <c r="F2139" s="105"/>
      <c r="I2139" s="105"/>
      <c r="J2139" s="105"/>
      <c r="K2139" s="92"/>
      <c r="M2139" s="92"/>
    </row>
    <row r="2140">
      <c r="A2140" s="103"/>
      <c r="C2140" s="92"/>
      <c r="E2140" s="92"/>
      <c r="F2140" s="105"/>
      <c r="I2140" s="105"/>
      <c r="J2140" s="105"/>
      <c r="K2140" s="92"/>
      <c r="M2140" s="92"/>
    </row>
    <row r="2141">
      <c r="A2141" s="103"/>
      <c r="C2141" s="92"/>
      <c r="E2141" s="92"/>
      <c r="F2141" s="105"/>
      <c r="I2141" s="105"/>
      <c r="J2141" s="105"/>
      <c r="K2141" s="92"/>
      <c r="M2141" s="92"/>
    </row>
    <row r="2142">
      <c r="A2142" s="103"/>
      <c r="C2142" s="92"/>
      <c r="E2142" s="92"/>
      <c r="F2142" s="105"/>
      <c r="I2142" s="105"/>
      <c r="J2142" s="105"/>
      <c r="K2142" s="92"/>
      <c r="M2142" s="92"/>
    </row>
    <row r="2143">
      <c r="A2143" s="103"/>
      <c r="C2143" s="92"/>
      <c r="E2143" s="92"/>
      <c r="F2143" s="105"/>
      <c r="I2143" s="105"/>
      <c r="J2143" s="105"/>
      <c r="K2143" s="92"/>
      <c r="M2143" s="92"/>
    </row>
    <row r="2144">
      <c r="A2144" s="103"/>
      <c r="C2144" s="92"/>
      <c r="E2144" s="92"/>
      <c r="F2144" s="105"/>
      <c r="I2144" s="105"/>
      <c r="J2144" s="105"/>
      <c r="K2144" s="92"/>
      <c r="M2144" s="92"/>
    </row>
    <row r="2145">
      <c r="A2145" s="103"/>
      <c r="C2145" s="92"/>
      <c r="E2145" s="92"/>
      <c r="F2145" s="105"/>
      <c r="I2145" s="105"/>
      <c r="J2145" s="105"/>
      <c r="K2145" s="92"/>
      <c r="M2145" s="92"/>
    </row>
    <row r="2146">
      <c r="A2146" s="103"/>
      <c r="C2146" s="92"/>
      <c r="E2146" s="92"/>
      <c r="F2146" s="105"/>
      <c r="I2146" s="105"/>
      <c r="J2146" s="105"/>
      <c r="K2146" s="92"/>
      <c r="M2146" s="92"/>
    </row>
    <row r="2147">
      <c r="A2147" s="103"/>
      <c r="C2147" s="92"/>
      <c r="E2147" s="92"/>
      <c r="F2147" s="105"/>
      <c r="I2147" s="105"/>
      <c r="J2147" s="105"/>
      <c r="K2147" s="92"/>
      <c r="M2147" s="92"/>
    </row>
    <row r="2148">
      <c r="A2148" s="103"/>
      <c r="C2148" s="92"/>
      <c r="E2148" s="92"/>
      <c r="F2148" s="105"/>
      <c r="I2148" s="105"/>
      <c r="J2148" s="105"/>
      <c r="K2148" s="92"/>
      <c r="M2148" s="92"/>
    </row>
    <row r="2149">
      <c r="A2149" s="103"/>
      <c r="C2149" s="92"/>
      <c r="E2149" s="92"/>
      <c r="F2149" s="105"/>
      <c r="I2149" s="105"/>
      <c r="J2149" s="105"/>
      <c r="K2149" s="92"/>
      <c r="M2149" s="92"/>
    </row>
    <row r="2150">
      <c r="A2150" s="103"/>
      <c r="C2150" s="92"/>
      <c r="E2150" s="92"/>
      <c r="F2150" s="105"/>
      <c r="I2150" s="105"/>
      <c r="J2150" s="105"/>
      <c r="K2150" s="92"/>
      <c r="M2150" s="92"/>
    </row>
    <row r="2151">
      <c r="A2151" s="103"/>
      <c r="C2151" s="92"/>
      <c r="E2151" s="92"/>
      <c r="F2151" s="105"/>
      <c r="I2151" s="105"/>
      <c r="J2151" s="105"/>
      <c r="K2151" s="92"/>
      <c r="M2151" s="92"/>
    </row>
    <row r="2152">
      <c r="A2152" s="103"/>
      <c r="C2152" s="92"/>
      <c r="E2152" s="92"/>
      <c r="F2152" s="105"/>
      <c r="I2152" s="105"/>
      <c r="J2152" s="105"/>
      <c r="K2152" s="92"/>
      <c r="M2152" s="92"/>
    </row>
    <row r="2153">
      <c r="A2153" s="103"/>
      <c r="C2153" s="92"/>
      <c r="E2153" s="92"/>
      <c r="F2153" s="105"/>
      <c r="I2153" s="105"/>
      <c r="J2153" s="105"/>
      <c r="K2153" s="92"/>
      <c r="M2153" s="92"/>
    </row>
    <row r="2154">
      <c r="A2154" s="103"/>
      <c r="C2154" s="92"/>
      <c r="E2154" s="92"/>
      <c r="F2154" s="105"/>
      <c r="I2154" s="105"/>
      <c r="J2154" s="105"/>
      <c r="K2154" s="92"/>
      <c r="M2154" s="92"/>
    </row>
    <row r="2155">
      <c r="A2155" s="103"/>
      <c r="C2155" s="92"/>
      <c r="E2155" s="92"/>
      <c r="F2155" s="105"/>
      <c r="I2155" s="105"/>
      <c r="J2155" s="105"/>
      <c r="K2155" s="92"/>
      <c r="M2155" s="92"/>
    </row>
    <row r="2156">
      <c r="A2156" s="103"/>
      <c r="C2156" s="92"/>
      <c r="E2156" s="92"/>
      <c r="F2156" s="105"/>
      <c r="I2156" s="105"/>
      <c r="J2156" s="105"/>
      <c r="K2156" s="92"/>
      <c r="M2156" s="92"/>
    </row>
    <row r="2157">
      <c r="A2157" s="103"/>
      <c r="C2157" s="92"/>
      <c r="E2157" s="92"/>
      <c r="F2157" s="105"/>
      <c r="I2157" s="105"/>
      <c r="J2157" s="105"/>
      <c r="K2157" s="92"/>
      <c r="M2157" s="92"/>
    </row>
    <row r="2158">
      <c r="A2158" s="103"/>
      <c r="C2158" s="92"/>
      <c r="E2158" s="92"/>
      <c r="F2158" s="105"/>
      <c r="I2158" s="105"/>
      <c r="J2158" s="105"/>
      <c r="K2158" s="92"/>
      <c r="M2158" s="92"/>
    </row>
    <row r="2159">
      <c r="A2159" s="103"/>
      <c r="C2159" s="92"/>
      <c r="E2159" s="92"/>
      <c r="F2159" s="105"/>
      <c r="I2159" s="105"/>
      <c r="J2159" s="105"/>
      <c r="K2159" s="92"/>
      <c r="M2159" s="92"/>
    </row>
    <row r="2160">
      <c r="A2160" s="103"/>
      <c r="C2160" s="92"/>
      <c r="E2160" s="92"/>
      <c r="F2160" s="105"/>
      <c r="I2160" s="105"/>
      <c r="J2160" s="105"/>
      <c r="K2160" s="92"/>
      <c r="M2160" s="92"/>
    </row>
    <row r="2161">
      <c r="A2161" s="103"/>
      <c r="C2161" s="92"/>
      <c r="E2161" s="92"/>
      <c r="F2161" s="105"/>
      <c r="I2161" s="105"/>
      <c r="J2161" s="105"/>
      <c r="K2161" s="92"/>
      <c r="M2161" s="92"/>
    </row>
    <row r="2162">
      <c r="A2162" s="103"/>
      <c r="C2162" s="92"/>
      <c r="E2162" s="92"/>
      <c r="F2162" s="105"/>
      <c r="I2162" s="105"/>
      <c r="J2162" s="105"/>
      <c r="K2162" s="92"/>
      <c r="M2162" s="92"/>
    </row>
    <row r="2163">
      <c r="A2163" s="103"/>
      <c r="C2163" s="92"/>
      <c r="E2163" s="92"/>
      <c r="F2163" s="105"/>
      <c r="I2163" s="105"/>
      <c r="J2163" s="105"/>
      <c r="K2163" s="92"/>
      <c r="M2163" s="92"/>
    </row>
    <row r="2164">
      <c r="A2164" s="103"/>
      <c r="C2164" s="92"/>
      <c r="E2164" s="92"/>
      <c r="F2164" s="105"/>
      <c r="I2164" s="105"/>
      <c r="J2164" s="105"/>
      <c r="K2164" s="92"/>
      <c r="M2164" s="92"/>
    </row>
    <row r="2165">
      <c r="A2165" s="103"/>
      <c r="C2165" s="92"/>
      <c r="E2165" s="92"/>
      <c r="F2165" s="105"/>
      <c r="I2165" s="105"/>
      <c r="J2165" s="105"/>
      <c r="K2165" s="92"/>
      <c r="M2165" s="92"/>
    </row>
    <row r="2166">
      <c r="A2166" s="103"/>
      <c r="C2166" s="92"/>
      <c r="E2166" s="92"/>
      <c r="F2166" s="105"/>
      <c r="I2166" s="105"/>
      <c r="J2166" s="105"/>
      <c r="K2166" s="92"/>
      <c r="M2166" s="92"/>
    </row>
    <row r="2167">
      <c r="A2167" s="103"/>
      <c r="C2167" s="92"/>
      <c r="E2167" s="92"/>
      <c r="F2167" s="105"/>
      <c r="I2167" s="105"/>
      <c r="J2167" s="105"/>
      <c r="K2167" s="92"/>
      <c r="M2167" s="92"/>
    </row>
    <row r="2168">
      <c r="A2168" s="103"/>
      <c r="C2168" s="92"/>
      <c r="E2168" s="92"/>
      <c r="F2168" s="105"/>
      <c r="I2168" s="105"/>
      <c r="J2168" s="105"/>
      <c r="K2168" s="92"/>
      <c r="M2168" s="92"/>
    </row>
    <row r="2169">
      <c r="A2169" s="103"/>
      <c r="C2169" s="92"/>
      <c r="E2169" s="92"/>
      <c r="F2169" s="105"/>
      <c r="I2169" s="105"/>
      <c r="J2169" s="105"/>
      <c r="K2169" s="92"/>
      <c r="M2169" s="92"/>
    </row>
    <row r="2170">
      <c r="A2170" s="103"/>
      <c r="C2170" s="92"/>
      <c r="E2170" s="92"/>
      <c r="F2170" s="105"/>
      <c r="I2170" s="105"/>
      <c r="J2170" s="105"/>
      <c r="K2170" s="92"/>
      <c r="M2170" s="92"/>
    </row>
    <row r="2171">
      <c r="A2171" s="103"/>
      <c r="C2171" s="92"/>
      <c r="E2171" s="92"/>
      <c r="F2171" s="105"/>
      <c r="I2171" s="105"/>
      <c r="J2171" s="105"/>
      <c r="K2171" s="92"/>
      <c r="M2171" s="92"/>
    </row>
    <row r="2172">
      <c r="A2172" s="103"/>
      <c r="C2172" s="92"/>
      <c r="E2172" s="92"/>
      <c r="F2172" s="105"/>
      <c r="I2172" s="105"/>
      <c r="J2172" s="105"/>
      <c r="K2172" s="92"/>
      <c r="M2172" s="92"/>
    </row>
    <row r="2173">
      <c r="A2173" s="103"/>
      <c r="C2173" s="92"/>
      <c r="E2173" s="92"/>
      <c r="F2173" s="105"/>
      <c r="I2173" s="105"/>
      <c r="J2173" s="105"/>
      <c r="K2173" s="92"/>
      <c r="M2173" s="92"/>
    </row>
    <row r="2174">
      <c r="A2174" s="103"/>
      <c r="C2174" s="92"/>
      <c r="E2174" s="92"/>
      <c r="F2174" s="105"/>
      <c r="I2174" s="105"/>
      <c r="J2174" s="105"/>
      <c r="K2174" s="92"/>
      <c r="M2174" s="92"/>
    </row>
    <row r="2175">
      <c r="A2175" s="103"/>
      <c r="C2175" s="92"/>
      <c r="E2175" s="92"/>
      <c r="F2175" s="105"/>
      <c r="I2175" s="105"/>
      <c r="J2175" s="105"/>
      <c r="K2175" s="92"/>
      <c r="M2175" s="92"/>
    </row>
    <row r="2176">
      <c r="A2176" s="103"/>
      <c r="C2176" s="92"/>
      <c r="E2176" s="92"/>
      <c r="F2176" s="105"/>
      <c r="I2176" s="105"/>
      <c r="J2176" s="105"/>
      <c r="K2176" s="92"/>
      <c r="M2176" s="92"/>
    </row>
    <row r="2177">
      <c r="A2177" s="103"/>
      <c r="C2177" s="92"/>
      <c r="E2177" s="92"/>
      <c r="F2177" s="105"/>
      <c r="I2177" s="105"/>
      <c r="J2177" s="105"/>
      <c r="K2177" s="92"/>
      <c r="M2177" s="92"/>
    </row>
    <row r="2178">
      <c r="A2178" s="103"/>
      <c r="C2178" s="92"/>
      <c r="E2178" s="92"/>
      <c r="F2178" s="105"/>
      <c r="I2178" s="105"/>
      <c r="J2178" s="105"/>
      <c r="K2178" s="92"/>
      <c r="M2178" s="92"/>
    </row>
    <row r="2179">
      <c r="A2179" s="103"/>
      <c r="C2179" s="92"/>
      <c r="E2179" s="92"/>
      <c r="F2179" s="105"/>
      <c r="I2179" s="105"/>
      <c r="J2179" s="105"/>
      <c r="K2179" s="92"/>
      <c r="M2179" s="92"/>
    </row>
    <row r="2180">
      <c r="A2180" s="103"/>
      <c r="C2180" s="92"/>
      <c r="E2180" s="92"/>
      <c r="F2180" s="105"/>
      <c r="I2180" s="105"/>
      <c r="J2180" s="105"/>
      <c r="K2180" s="92"/>
      <c r="M2180" s="92"/>
    </row>
    <row r="2181">
      <c r="A2181" s="103"/>
      <c r="C2181" s="92"/>
      <c r="E2181" s="92"/>
      <c r="F2181" s="105"/>
      <c r="I2181" s="105"/>
      <c r="J2181" s="105"/>
      <c r="K2181" s="92"/>
      <c r="M2181" s="92"/>
    </row>
    <row r="2182">
      <c r="A2182" s="103"/>
      <c r="C2182" s="92"/>
      <c r="E2182" s="92"/>
      <c r="F2182" s="105"/>
      <c r="I2182" s="105"/>
      <c r="J2182" s="105"/>
      <c r="K2182" s="92"/>
      <c r="M2182" s="92"/>
    </row>
    <row r="2183">
      <c r="A2183" s="103"/>
      <c r="C2183" s="92"/>
      <c r="E2183" s="92"/>
      <c r="F2183" s="105"/>
      <c r="I2183" s="105"/>
      <c r="J2183" s="105"/>
      <c r="K2183" s="92"/>
      <c r="M2183" s="92"/>
    </row>
    <row r="2184">
      <c r="A2184" s="103"/>
      <c r="C2184" s="92"/>
      <c r="E2184" s="92"/>
      <c r="F2184" s="105"/>
      <c r="I2184" s="105"/>
      <c r="J2184" s="105"/>
      <c r="K2184" s="92"/>
      <c r="M2184" s="92"/>
    </row>
    <row r="2185">
      <c r="A2185" s="103"/>
      <c r="C2185" s="92"/>
      <c r="E2185" s="92"/>
      <c r="F2185" s="105"/>
      <c r="I2185" s="105"/>
      <c r="J2185" s="105"/>
      <c r="K2185" s="92"/>
      <c r="M2185" s="92"/>
    </row>
    <row r="2186">
      <c r="A2186" s="103"/>
      <c r="C2186" s="92"/>
      <c r="E2186" s="92"/>
      <c r="F2186" s="105"/>
      <c r="I2186" s="105"/>
      <c r="J2186" s="105"/>
      <c r="K2186" s="92"/>
      <c r="M2186" s="92"/>
    </row>
    <row r="2187">
      <c r="A2187" s="103"/>
      <c r="C2187" s="92"/>
      <c r="E2187" s="92"/>
      <c r="F2187" s="105"/>
      <c r="I2187" s="105"/>
      <c r="J2187" s="105"/>
      <c r="K2187" s="92"/>
      <c r="M2187" s="92"/>
    </row>
    <row r="2188">
      <c r="A2188" s="103"/>
      <c r="C2188" s="92"/>
      <c r="E2188" s="92"/>
      <c r="F2188" s="105"/>
      <c r="I2188" s="105"/>
      <c r="J2188" s="105"/>
      <c r="K2188" s="92"/>
      <c r="M2188" s="92"/>
    </row>
    <row r="2189">
      <c r="A2189" s="103"/>
      <c r="C2189" s="92"/>
      <c r="E2189" s="92"/>
      <c r="F2189" s="105"/>
      <c r="I2189" s="105"/>
      <c r="J2189" s="105"/>
      <c r="K2189" s="92"/>
      <c r="M2189" s="92"/>
    </row>
    <row r="2190">
      <c r="A2190" s="103"/>
      <c r="C2190" s="92"/>
      <c r="E2190" s="92"/>
      <c r="F2190" s="105"/>
      <c r="I2190" s="105"/>
      <c r="J2190" s="105"/>
      <c r="K2190" s="92"/>
      <c r="M2190" s="92"/>
    </row>
    <row r="2191">
      <c r="A2191" s="103"/>
      <c r="C2191" s="92"/>
      <c r="E2191" s="92"/>
      <c r="F2191" s="105"/>
      <c r="I2191" s="105"/>
      <c r="J2191" s="105"/>
      <c r="K2191" s="92"/>
      <c r="M2191" s="92"/>
    </row>
    <row r="2192">
      <c r="A2192" s="103"/>
      <c r="C2192" s="92"/>
      <c r="E2192" s="92"/>
      <c r="F2192" s="105"/>
      <c r="I2192" s="105"/>
      <c r="J2192" s="105"/>
      <c r="K2192" s="92"/>
      <c r="M2192" s="92"/>
    </row>
    <row r="2193">
      <c r="A2193" s="103"/>
      <c r="C2193" s="92"/>
      <c r="E2193" s="92"/>
      <c r="F2193" s="105"/>
      <c r="I2193" s="105"/>
      <c r="J2193" s="105"/>
      <c r="K2193" s="92"/>
      <c r="M2193" s="92"/>
    </row>
    <row r="2194">
      <c r="A2194" s="103"/>
      <c r="C2194" s="92"/>
      <c r="E2194" s="92"/>
      <c r="F2194" s="105"/>
      <c r="I2194" s="105"/>
      <c r="J2194" s="105"/>
      <c r="K2194" s="92"/>
      <c r="M2194" s="92"/>
    </row>
    <row r="2195">
      <c r="A2195" s="103"/>
      <c r="C2195" s="92"/>
      <c r="E2195" s="92"/>
      <c r="F2195" s="105"/>
      <c r="I2195" s="105"/>
      <c r="J2195" s="105"/>
      <c r="K2195" s="92"/>
      <c r="M2195" s="92"/>
    </row>
    <row r="2196">
      <c r="A2196" s="103"/>
      <c r="C2196" s="92"/>
      <c r="E2196" s="92"/>
      <c r="F2196" s="105"/>
      <c r="I2196" s="105"/>
      <c r="J2196" s="105"/>
      <c r="K2196" s="92"/>
      <c r="M2196" s="92"/>
    </row>
    <row r="2197">
      <c r="A2197" s="103"/>
      <c r="C2197" s="92"/>
      <c r="E2197" s="92"/>
      <c r="F2197" s="105"/>
      <c r="I2197" s="105"/>
      <c r="J2197" s="105"/>
      <c r="K2197" s="92"/>
      <c r="M2197" s="92"/>
    </row>
    <row r="2198">
      <c r="A2198" s="103"/>
      <c r="C2198" s="92"/>
      <c r="E2198" s="92"/>
      <c r="F2198" s="105"/>
      <c r="I2198" s="105"/>
      <c r="J2198" s="105"/>
      <c r="K2198" s="92"/>
      <c r="M2198" s="92"/>
    </row>
    <row r="2199">
      <c r="A2199" s="103"/>
      <c r="C2199" s="92"/>
      <c r="E2199" s="92"/>
      <c r="F2199" s="105"/>
      <c r="I2199" s="105"/>
      <c r="J2199" s="105"/>
      <c r="K2199" s="92"/>
      <c r="M2199" s="92"/>
    </row>
    <row r="2200">
      <c r="A2200" s="103"/>
      <c r="C2200" s="92"/>
      <c r="E2200" s="92"/>
      <c r="F2200" s="105"/>
      <c r="I2200" s="105"/>
      <c r="J2200" s="105"/>
      <c r="K2200" s="92"/>
      <c r="M2200" s="92"/>
    </row>
    <row r="2201">
      <c r="A2201" s="103"/>
      <c r="C2201" s="92"/>
      <c r="E2201" s="92"/>
      <c r="F2201" s="105"/>
      <c r="I2201" s="105"/>
      <c r="J2201" s="105"/>
      <c r="K2201" s="92"/>
      <c r="M2201" s="92"/>
    </row>
    <row r="2202">
      <c r="A2202" s="103"/>
      <c r="C2202" s="92"/>
      <c r="E2202" s="92"/>
      <c r="F2202" s="105"/>
      <c r="I2202" s="105"/>
      <c r="J2202" s="105"/>
      <c r="K2202" s="92"/>
      <c r="M2202" s="92"/>
    </row>
    <row r="2203">
      <c r="A2203" s="103"/>
      <c r="C2203" s="92"/>
      <c r="E2203" s="92"/>
      <c r="F2203" s="105"/>
      <c r="I2203" s="105"/>
      <c r="J2203" s="105"/>
      <c r="K2203" s="92"/>
      <c r="M2203" s="92"/>
    </row>
    <row r="2204">
      <c r="A2204" s="103"/>
      <c r="C2204" s="92"/>
      <c r="E2204" s="92"/>
      <c r="F2204" s="105"/>
      <c r="I2204" s="105"/>
      <c r="J2204" s="105"/>
      <c r="K2204" s="92"/>
      <c r="M2204" s="92"/>
    </row>
    <row r="2205">
      <c r="A2205" s="103"/>
      <c r="C2205" s="92"/>
      <c r="E2205" s="92"/>
      <c r="F2205" s="105"/>
      <c r="I2205" s="105"/>
      <c r="J2205" s="105"/>
      <c r="K2205" s="92"/>
      <c r="M2205" s="92"/>
    </row>
    <row r="2206">
      <c r="A2206" s="103"/>
      <c r="C2206" s="92"/>
      <c r="E2206" s="92"/>
      <c r="F2206" s="105"/>
      <c r="I2206" s="105"/>
      <c r="J2206" s="105"/>
      <c r="K2206" s="92"/>
      <c r="M2206" s="92"/>
    </row>
    <row r="2207">
      <c r="A2207" s="103"/>
      <c r="C2207" s="92"/>
      <c r="E2207" s="92"/>
      <c r="F2207" s="105"/>
      <c r="I2207" s="105"/>
      <c r="J2207" s="105"/>
      <c r="K2207" s="92"/>
      <c r="M2207" s="92"/>
    </row>
    <row r="2208">
      <c r="A2208" s="103"/>
      <c r="C2208" s="92"/>
      <c r="E2208" s="92"/>
      <c r="F2208" s="105"/>
      <c r="I2208" s="105"/>
      <c r="J2208" s="105"/>
      <c r="K2208" s="92"/>
      <c r="M2208" s="92"/>
    </row>
    <row r="2209">
      <c r="A2209" s="103"/>
      <c r="C2209" s="92"/>
      <c r="E2209" s="92"/>
      <c r="F2209" s="105"/>
      <c r="I2209" s="105"/>
      <c r="J2209" s="105"/>
      <c r="K2209" s="92"/>
      <c r="M2209" s="92"/>
    </row>
    <row r="2210">
      <c r="A2210" s="103"/>
      <c r="C2210" s="92"/>
      <c r="E2210" s="92"/>
      <c r="F2210" s="105"/>
      <c r="I2210" s="105"/>
      <c r="J2210" s="105"/>
      <c r="K2210" s="92"/>
      <c r="M2210" s="92"/>
    </row>
    <row r="2211">
      <c r="A2211" s="103"/>
      <c r="C2211" s="92"/>
      <c r="E2211" s="92"/>
      <c r="F2211" s="105"/>
      <c r="I2211" s="105"/>
      <c r="J2211" s="105"/>
      <c r="K2211" s="92"/>
      <c r="M2211" s="92"/>
    </row>
    <row r="2212">
      <c r="A2212" s="103"/>
      <c r="C2212" s="92"/>
      <c r="E2212" s="92"/>
      <c r="F2212" s="105"/>
      <c r="I2212" s="105"/>
      <c r="J2212" s="105"/>
      <c r="K2212" s="92"/>
      <c r="M2212" s="92"/>
    </row>
    <row r="2213">
      <c r="A2213" s="103"/>
      <c r="C2213" s="92"/>
      <c r="E2213" s="92"/>
      <c r="F2213" s="105"/>
      <c r="I2213" s="105"/>
      <c r="J2213" s="105"/>
      <c r="K2213" s="92"/>
      <c r="M2213" s="92"/>
    </row>
    <row r="2214">
      <c r="A2214" s="103"/>
      <c r="C2214" s="92"/>
      <c r="E2214" s="92"/>
      <c r="F2214" s="105"/>
      <c r="I2214" s="105"/>
      <c r="J2214" s="105"/>
      <c r="K2214" s="92"/>
      <c r="M2214" s="92"/>
    </row>
    <row r="2215">
      <c r="A2215" s="103"/>
      <c r="C2215" s="92"/>
      <c r="E2215" s="92"/>
      <c r="F2215" s="105"/>
      <c r="I2215" s="105"/>
      <c r="J2215" s="105"/>
      <c r="K2215" s="92"/>
      <c r="M2215" s="92"/>
    </row>
    <row r="2216">
      <c r="A2216" s="103"/>
      <c r="C2216" s="92"/>
      <c r="E2216" s="92"/>
      <c r="F2216" s="105"/>
      <c r="I2216" s="105"/>
      <c r="J2216" s="105"/>
      <c r="K2216" s="92"/>
      <c r="M2216" s="92"/>
    </row>
    <row r="2217">
      <c r="A2217" s="103"/>
      <c r="C2217" s="92"/>
      <c r="E2217" s="92"/>
      <c r="F2217" s="105"/>
      <c r="I2217" s="105"/>
      <c r="J2217" s="105"/>
      <c r="K2217" s="92"/>
      <c r="M2217" s="92"/>
    </row>
    <row r="2218">
      <c r="A2218" s="103"/>
      <c r="C2218" s="92"/>
      <c r="E2218" s="92"/>
      <c r="F2218" s="105"/>
      <c r="I2218" s="105"/>
      <c r="J2218" s="105"/>
      <c r="K2218" s="92"/>
      <c r="M2218" s="92"/>
    </row>
    <row r="2219">
      <c r="A2219" s="103"/>
      <c r="C2219" s="92"/>
      <c r="E2219" s="92"/>
      <c r="F2219" s="105"/>
      <c r="I2219" s="105"/>
      <c r="J2219" s="105"/>
      <c r="K2219" s="92"/>
      <c r="M2219" s="92"/>
    </row>
    <row r="2220">
      <c r="A2220" s="103"/>
      <c r="C2220" s="92"/>
      <c r="E2220" s="92"/>
      <c r="F2220" s="105"/>
      <c r="I2220" s="105"/>
      <c r="J2220" s="105"/>
      <c r="K2220" s="92"/>
      <c r="M2220" s="92"/>
    </row>
    <row r="2221">
      <c r="A2221" s="103"/>
      <c r="C2221" s="92"/>
      <c r="E2221" s="92"/>
      <c r="F2221" s="105"/>
      <c r="I2221" s="105"/>
      <c r="J2221" s="105"/>
      <c r="K2221" s="92"/>
      <c r="M2221" s="92"/>
    </row>
    <row r="2222">
      <c r="A2222" s="103"/>
      <c r="C2222" s="92"/>
      <c r="E2222" s="92"/>
      <c r="F2222" s="105"/>
      <c r="I2222" s="105"/>
      <c r="J2222" s="105"/>
      <c r="K2222" s="92"/>
      <c r="M2222" s="92"/>
    </row>
    <row r="2223">
      <c r="A2223" s="103"/>
      <c r="C2223" s="92"/>
      <c r="E2223" s="92"/>
      <c r="F2223" s="105"/>
      <c r="I2223" s="105"/>
      <c r="J2223" s="105"/>
      <c r="K2223" s="92"/>
      <c r="M2223" s="92"/>
    </row>
    <row r="2224">
      <c r="A2224" s="103"/>
      <c r="C2224" s="92"/>
      <c r="E2224" s="92"/>
      <c r="F2224" s="105"/>
      <c r="I2224" s="105"/>
      <c r="J2224" s="105"/>
      <c r="K2224" s="92"/>
      <c r="M2224" s="92"/>
    </row>
    <row r="2225">
      <c r="A2225" s="103"/>
      <c r="C2225" s="92"/>
      <c r="E2225" s="92"/>
      <c r="F2225" s="105"/>
      <c r="I2225" s="105"/>
      <c r="J2225" s="105"/>
      <c r="K2225" s="92"/>
      <c r="M2225" s="92"/>
    </row>
    <row r="2226">
      <c r="A2226" s="103"/>
      <c r="C2226" s="92"/>
      <c r="E2226" s="92"/>
      <c r="F2226" s="105"/>
      <c r="I2226" s="105"/>
      <c r="J2226" s="105"/>
      <c r="K2226" s="92"/>
      <c r="M2226" s="92"/>
    </row>
    <row r="2227">
      <c r="A2227" s="103"/>
      <c r="C2227" s="92"/>
      <c r="E2227" s="92"/>
      <c r="F2227" s="105"/>
      <c r="I2227" s="105"/>
      <c r="J2227" s="105"/>
      <c r="K2227" s="92"/>
      <c r="M2227" s="92"/>
    </row>
    <row r="2228">
      <c r="A2228" s="103"/>
      <c r="C2228" s="92"/>
      <c r="E2228" s="92"/>
      <c r="F2228" s="105"/>
      <c r="I2228" s="105"/>
      <c r="J2228" s="105"/>
      <c r="K2228" s="92"/>
      <c r="M2228" s="92"/>
    </row>
    <row r="2229">
      <c r="A2229" s="103"/>
      <c r="C2229" s="92"/>
      <c r="E2229" s="92"/>
      <c r="F2229" s="105"/>
      <c r="I2229" s="105"/>
      <c r="J2229" s="105"/>
      <c r="K2229" s="92"/>
      <c r="M2229" s="92"/>
    </row>
    <row r="2230">
      <c r="A2230" s="103"/>
      <c r="C2230" s="92"/>
      <c r="E2230" s="92"/>
      <c r="F2230" s="105"/>
      <c r="I2230" s="105"/>
      <c r="J2230" s="105"/>
      <c r="K2230" s="92"/>
      <c r="M2230" s="92"/>
    </row>
    <row r="2231">
      <c r="A2231" s="103"/>
      <c r="C2231" s="92"/>
      <c r="E2231" s="92"/>
      <c r="F2231" s="105"/>
      <c r="I2231" s="105"/>
      <c r="J2231" s="105"/>
      <c r="K2231" s="92"/>
      <c r="M2231" s="92"/>
    </row>
    <row r="2232">
      <c r="A2232" s="103"/>
      <c r="C2232" s="92"/>
      <c r="E2232" s="92"/>
      <c r="F2232" s="105"/>
      <c r="I2232" s="105"/>
      <c r="J2232" s="105"/>
      <c r="K2232" s="92"/>
      <c r="M2232" s="92"/>
    </row>
    <row r="2233">
      <c r="A2233" s="103"/>
      <c r="C2233" s="92"/>
      <c r="E2233" s="92"/>
      <c r="F2233" s="105"/>
      <c r="I2233" s="105"/>
      <c r="J2233" s="105"/>
      <c r="K2233" s="92"/>
      <c r="M2233" s="92"/>
    </row>
    <row r="2234">
      <c r="A2234" s="103"/>
      <c r="C2234" s="92"/>
      <c r="E2234" s="92"/>
      <c r="F2234" s="105"/>
      <c r="I2234" s="105"/>
      <c r="J2234" s="105"/>
      <c r="K2234" s="92"/>
      <c r="M2234" s="92"/>
    </row>
    <row r="2235">
      <c r="A2235" s="103"/>
      <c r="C2235" s="92"/>
      <c r="E2235" s="92"/>
      <c r="F2235" s="105"/>
      <c r="I2235" s="105"/>
      <c r="J2235" s="105"/>
      <c r="K2235" s="92"/>
      <c r="M2235" s="92"/>
    </row>
    <row r="2236">
      <c r="A2236" s="103"/>
      <c r="C2236" s="92"/>
      <c r="E2236" s="92"/>
      <c r="F2236" s="105"/>
      <c r="I2236" s="105"/>
      <c r="J2236" s="105"/>
      <c r="K2236" s="92"/>
      <c r="M2236" s="92"/>
    </row>
    <row r="2237">
      <c r="A2237" s="103"/>
      <c r="C2237" s="92"/>
      <c r="E2237" s="92"/>
      <c r="F2237" s="105"/>
      <c r="I2237" s="105"/>
      <c r="J2237" s="105"/>
      <c r="K2237" s="92"/>
      <c r="M2237" s="92"/>
    </row>
    <row r="2238">
      <c r="A2238" s="103"/>
      <c r="C2238" s="92"/>
      <c r="E2238" s="92"/>
      <c r="F2238" s="105"/>
      <c r="I2238" s="105"/>
      <c r="J2238" s="105"/>
      <c r="K2238" s="92"/>
      <c r="M2238" s="92"/>
    </row>
    <row r="2239">
      <c r="A2239" s="103"/>
      <c r="C2239" s="92"/>
      <c r="E2239" s="92"/>
      <c r="F2239" s="105"/>
      <c r="I2239" s="105"/>
      <c r="J2239" s="105"/>
      <c r="K2239" s="92"/>
      <c r="M2239" s="92"/>
    </row>
    <row r="2240">
      <c r="A2240" s="103"/>
      <c r="C2240" s="92"/>
      <c r="E2240" s="92"/>
      <c r="F2240" s="105"/>
      <c r="I2240" s="105"/>
      <c r="J2240" s="105"/>
      <c r="K2240" s="92"/>
      <c r="M2240" s="92"/>
    </row>
    <row r="2241">
      <c r="A2241" s="103"/>
      <c r="C2241" s="92"/>
      <c r="E2241" s="92"/>
      <c r="F2241" s="105"/>
      <c r="I2241" s="105"/>
      <c r="J2241" s="105"/>
      <c r="K2241" s="92"/>
      <c r="M2241" s="92"/>
    </row>
    <row r="2242">
      <c r="A2242" s="103"/>
      <c r="C2242" s="92"/>
      <c r="E2242" s="92"/>
      <c r="F2242" s="105"/>
      <c r="I2242" s="105"/>
      <c r="J2242" s="105"/>
      <c r="K2242" s="92"/>
      <c r="M2242" s="92"/>
    </row>
    <row r="2243">
      <c r="A2243" s="103"/>
      <c r="C2243" s="92"/>
      <c r="E2243" s="92"/>
      <c r="F2243" s="105"/>
      <c r="I2243" s="105"/>
      <c r="J2243" s="105"/>
      <c r="K2243" s="92"/>
      <c r="M2243" s="92"/>
    </row>
    <row r="2244">
      <c r="A2244" s="103"/>
      <c r="C2244" s="92"/>
      <c r="E2244" s="92"/>
      <c r="F2244" s="105"/>
      <c r="I2244" s="105"/>
      <c r="J2244" s="105"/>
      <c r="K2244" s="92"/>
      <c r="M2244" s="92"/>
    </row>
    <row r="2245">
      <c r="A2245" s="103"/>
      <c r="C2245" s="92"/>
      <c r="E2245" s="92"/>
      <c r="F2245" s="105"/>
      <c r="I2245" s="105"/>
      <c r="J2245" s="105"/>
      <c r="K2245" s="92"/>
      <c r="M2245" s="92"/>
    </row>
    <row r="2246">
      <c r="A2246" s="103"/>
      <c r="C2246" s="92"/>
      <c r="E2246" s="92"/>
      <c r="F2246" s="105"/>
      <c r="I2246" s="105"/>
      <c r="J2246" s="105"/>
      <c r="K2246" s="92"/>
      <c r="M2246" s="92"/>
    </row>
    <row r="2247">
      <c r="A2247" s="103"/>
      <c r="C2247" s="92"/>
      <c r="E2247" s="92"/>
      <c r="F2247" s="105"/>
      <c r="I2247" s="105"/>
      <c r="J2247" s="105"/>
      <c r="K2247" s="92"/>
      <c r="M2247" s="92"/>
    </row>
    <row r="2248">
      <c r="A2248" s="103"/>
      <c r="C2248" s="92"/>
      <c r="E2248" s="92"/>
      <c r="F2248" s="105"/>
      <c r="I2248" s="105"/>
      <c r="J2248" s="105"/>
      <c r="K2248" s="92"/>
      <c r="M2248" s="92"/>
    </row>
    <row r="2249">
      <c r="A2249" s="103"/>
      <c r="C2249" s="92"/>
      <c r="E2249" s="92"/>
      <c r="F2249" s="105"/>
      <c r="I2249" s="105"/>
      <c r="J2249" s="105"/>
      <c r="K2249" s="92"/>
      <c r="M2249" s="92"/>
    </row>
    <row r="2250">
      <c r="A2250" s="103"/>
      <c r="C2250" s="92"/>
      <c r="E2250" s="92"/>
      <c r="F2250" s="105"/>
      <c r="I2250" s="105"/>
      <c r="J2250" s="105"/>
      <c r="K2250" s="92"/>
      <c r="M2250" s="92"/>
    </row>
    <row r="2251">
      <c r="A2251" s="103"/>
      <c r="C2251" s="92"/>
      <c r="E2251" s="92"/>
      <c r="F2251" s="105"/>
      <c r="I2251" s="105"/>
      <c r="J2251" s="105"/>
      <c r="K2251" s="92"/>
      <c r="M2251" s="92"/>
    </row>
    <row r="2252">
      <c r="A2252" s="103"/>
      <c r="C2252" s="92"/>
      <c r="E2252" s="92"/>
      <c r="F2252" s="105"/>
      <c r="I2252" s="105"/>
      <c r="J2252" s="105"/>
      <c r="K2252" s="92"/>
      <c r="M2252" s="92"/>
    </row>
    <row r="2253">
      <c r="A2253" s="103"/>
      <c r="C2253" s="92"/>
      <c r="E2253" s="92"/>
      <c r="F2253" s="105"/>
      <c r="I2253" s="105"/>
      <c r="J2253" s="105"/>
      <c r="K2253" s="92"/>
      <c r="M2253" s="92"/>
    </row>
    <row r="2254">
      <c r="A2254" s="103"/>
      <c r="C2254" s="92"/>
      <c r="E2254" s="92"/>
      <c r="F2254" s="105"/>
      <c r="I2254" s="105"/>
      <c r="J2254" s="105"/>
      <c r="K2254" s="92"/>
      <c r="M2254" s="92"/>
    </row>
    <row r="2255">
      <c r="A2255" s="103"/>
      <c r="C2255" s="92"/>
      <c r="E2255" s="92"/>
      <c r="F2255" s="105"/>
      <c r="I2255" s="105"/>
      <c r="J2255" s="105"/>
      <c r="K2255" s="92"/>
      <c r="M2255" s="92"/>
    </row>
    <row r="2256">
      <c r="A2256" s="103"/>
      <c r="C2256" s="92"/>
      <c r="E2256" s="92"/>
      <c r="F2256" s="105"/>
      <c r="I2256" s="105"/>
      <c r="J2256" s="105"/>
      <c r="K2256" s="92"/>
      <c r="M2256" s="92"/>
    </row>
    <row r="2257">
      <c r="A2257" s="103"/>
      <c r="C2257" s="92"/>
      <c r="E2257" s="92"/>
      <c r="F2257" s="105"/>
      <c r="I2257" s="105"/>
      <c r="J2257" s="105"/>
      <c r="K2257" s="92"/>
      <c r="M2257" s="92"/>
    </row>
    <row r="2258">
      <c r="A2258" s="103"/>
      <c r="C2258" s="92"/>
      <c r="E2258" s="92"/>
      <c r="F2258" s="105"/>
      <c r="I2258" s="105"/>
      <c r="J2258" s="105"/>
      <c r="K2258" s="92"/>
      <c r="M2258" s="92"/>
    </row>
    <row r="2259">
      <c r="A2259" s="103"/>
      <c r="C2259" s="92"/>
      <c r="E2259" s="92"/>
      <c r="F2259" s="105"/>
      <c r="I2259" s="105"/>
      <c r="J2259" s="105"/>
      <c r="K2259" s="92"/>
      <c r="M2259" s="92"/>
    </row>
    <row r="2260">
      <c r="A2260" s="103"/>
      <c r="C2260" s="92"/>
      <c r="E2260" s="92"/>
      <c r="F2260" s="105"/>
      <c r="I2260" s="105"/>
      <c r="J2260" s="105"/>
      <c r="K2260" s="92"/>
      <c r="M2260" s="92"/>
    </row>
    <row r="2261">
      <c r="A2261" s="103"/>
      <c r="C2261" s="92"/>
      <c r="E2261" s="92"/>
      <c r="F2261" s="105"/>
      <c r="I2261" s="105"/>
      <c r="J2261" s="105"/>
      <c r="K2261" s="92"/>
      <c r="M2261" s="92"/>
    </row>
    <row r="2262">
      <c r="A2262" s="103"/>
      <c r="C2262" s="92"/>
      <c r="E2262" s="92"/>
      <c r="F2262" s="105"/>
      <c r="I2262" s="105"/>
      <c r="J2262" s="105"/>
      <c r="K2262" s="92"/>
      <c r="M2262" s="92"/>
    </row>
    <row r="2263">
      <c r="A2263" s="103"/>
      <c r="C2263" s="92"/>
      <c r="E2263" s="92"/>
      <c r="F2263" s="105"/>
      <c r="I2263" s="105"/>
      <c r="J2263" s="105"/>
      <c r="K2263" s="92"/>
      <c r="M2263" s="92"/>
    </row>
    <row r="2264">
      <c r="A2264" s="103"/>
      <c r="C2264" s="92"/>
      <c r="E2264" s="92"/>
      <c r="F2264" s="105"/>
      <c r="I2264" s="105"/>
      <c r="J2264" s="105"/>
      <c r="K2264" s="92"/>
      <c r="M2264" s="92"/>
    </row>
    <row r="2265">
      <c r="A2265" s="103"/>
      <c r="C2265" s="92"/>
      <c r="E2265" s="92"/>
      <c r="F2265" s="105"/>
      <c r="I2265" s="105"/>
      <c r="J2265" s="105"/>
      <c r="K2265" s="92"/>
      <c r="M2265" s="92"/>
    </row>
    <row r="2266">
      <c r="A2266" s="103"/>
      <c r="C2266" s="92"/>
      <c r="E2266" s="92"/>
      <c r="F2266" s="105"/>
      <c r="I2266" s="105"/>
      <c r="J2266" s="105"/>
      <c r="K2266" s="92"/>
      <c r="M2266" s="92"/>
    </row>
    <row r="2267">
      <c r="A2267" s="103"/>
      <c r="C2267" s="92"/>
      <c r="E2267" s="92"/>
      <c r="F2267" s="105"/>
      <c r="I2267" s="105"/>
      <c r="J2267" s="105"/>
      <c r="K2267" s="92"/>
      <c r="M2267" s="92"/>
    </row>
    <row r="2268">
      <c r="A2268" s="103"/>
      <c r="C2268" s="92"/>
      <c r="E2268" s="92"/>
      <c r="F2268" s="105"/>
      <c r="I2268" s="105"/>
      <c r="J2268" s="105"/>
      <c r="K2268" s="92"/>
      <c r="M2268" s="92"/>
    </row>
    <row r="2269">
      <c r="A2269" s="103"/>
      <c r="C2269" s="92"/>
      <c r="E2269" s="92"/>
      <c r="F2269" s="105"/>
      <c r="I2269" s="105"/>
      <c r="J2269" s="105"/>
      <c r="K2269" s="92"/>
      <c r="M2269" s="92"/>
    </row>
    <row r="2270">
      <c r="A2270" s="103"/>
      <c r="C2270" s="92"/>
      <c r="E2270" s="92"/>
      <c r="F2270" s="105"/>
      <c r="I2270" s="105"/>
      <c r="J2270" s="105"/>
      <c r="K2270" s="92"/>
      <c r="M2270" s="92"/>
    </row>
    <row r="2271">
      <c r="A2271" s="103"/>
      <c r="C2271" s="92"/>
      <c r="E2271" s="92"/>
      <c r="F2271" s="105"/>
      <c r="I2271" s="105"/>
      <c r="J2271" s="105"/>
      <c r="K2271" s="92"/>
      <c r="M2271" s="92"/>
    </row>
    <row r="2272">
      <c r="A2272" s="103"/>
      <c r="C2272" s="92"/>
      <c r="E2272" s="92"/>
      <c r="F2272" s="105"/>
      <c r="I2272" s="105"/>
      <c r="J2272" s="105"/>
      <c r="K2272" s="92"/>
      <c r="M2272" s="92"/>
    </row>
    <row r="2273">
      <c r="A2273" s="103"/>
      <c r="C2273" s="92"/>
      <c r="E2273" s="92"/>
      <c r="F2273" s="105"/>
      <c r="I2273" s="105"/>
      <c r="J2273" s="105"/>
      <c r="K2273" s="92"/>
      <c r="M2273" s="92"/>
    </row>
    <row r="2274">
      <c r="A2274" s="103"/>
      <c r="C2274" s="92"/>
      <c r="E2274" s="92"/>
      <c r="F2274" s="105"/>
      <c r="I2274" s="105"/>
      <c r="J2274" s="105"/>
      <c r="K2274" s="92"/>
      <c r="M2274" s="92"/>
    </row>
    <row r="2275">
      <c r="A2275" s="103"/>
      <c r="C2275" s="92"/>
      <c r="E2275" s="92"/>
      <c r="F2275" s="105"/>
      <c r="I2275" s="105"/>
      <c r="J2275" s="105"/>
      <c r="K2275" s="92"/>
      <c r="M2275" s="92"/>
    </row>
    <row r="2276">
      <c r="A2276" s="103"/>
      <c r="C2276" s="92"/>
      <c r="E2276" s="92"/>
      <c r="F2276" s="105"/>
      <c r="I2276" s="105"/>
      <c r="J2276" s="105"/>
      <c r="K2276" s="92"/>
      <c r="M2276" s="92"/>
    </row>
    <row r="2277">
      <c r="A2277" s="103"/>
      <c r="C2277" s="92"/>
      <c r="E2277" s="92"/>
      <c r="F2277" s="105"/>
      <c r="I2277" s="105"/>
      <c r="J2277" s="105"/>
      <c r="K2277" s="92"/>
      <c r="M2277" s="92"/>
    </row>
    <row r="2278">
      <c r="A2278" s="103"/>
      <c r="C2278" s="92"/>
      <c r="E2278" s="92"/>
      <c r="F2278" s="105"/>
      <c r="I2278" s="105"/>
      <c r="J2278" s="105"/>
      <c r="K2278" s="92"/>
      <c r="M2278" s="92"/>
    </row>
    <row r="2279">
      <c r="A2279" s="103"/>
      <c r="C2279" s="92"/>
      <c r="E2279" s="92"/>
      <c r="F2279" s="105"/>
      <c r="I2279" s="105"/>
      <c r="J2279" s="105"/>
      <c r="K2279" s="92"/>
      <c r="M2279" s="92"/>
    </row>
    <row r="2280">
      <c r="A2280" s="103"/>
      <c r="C2280" s="92"/>
      <c r="E2280" s="92"/>
      <c r="F2280" s="105"/>
      <c r="I2280" s="105"/>
      <c r="J2280" s="105"/>
      <c r="K2280" s="92"/>
      <c r="M2280" s="92"/>
    </row>
    <row r="2281">
      <c r="A2281" s="103"/>
      <c r="C2281" s="92"/>
      <c r="E2281" s="92"/>
      <c r="F2281" s="105"/>
      <c r="I2281" s="105"/>
      <c r="J2281" s="105"/>
      <c r="K2281" s="92"/>
      <c r="M2281" s="92"/>
    </row>
    <row r="2282">
      <c r="A2282" s="103"/>
      <c r="C2282" s="92"/>
      <c r="E2282" s="92"/>
      <c r="F2282" s="105"/>
      <c r="I2282" s="105"/>
      <c r="J2282" s="105"/>
      <c r="K2282" s="92"/>
      <c r="M2282" s="92"/>
    </row>
    <row r="2283">
      <c r="A2283" s="103"/>
      <c r="C2283" s="92"/>
      <c r="E2283" s="92"/>
      <c r="F2283" s="105"/>
      <c r="I2283" s="105"/>
      <c r="J2283" s="105"/>
      <c r="K2283" s="92"/>
      <c r="M2283" s="92"/>
    </row>
    <row r="2284">
      <c r="A2284" s="103"/>
      <c r="C2284" s="92"/>
      <c r="E2284" s="92"/>
      <c r="F2284" s="105"/>
      <c r="I2284" s="105"/>
      <c r="J2284" s="105"/>
      <c r="K2284" s="92"/>
      <c r="M2284" s="92"/>
    </row>
    <row r="2285">
      <c r="A2285" s="103"/>
      <c r="C2285" s="92"/>
      <c r="E2285" s="92"/>
      <c r="F2285" s="105"/>
      <c r="I2285" s="105"/>
      <c r="J2285" s="105"/>
      <c r="K2285" s="92"/>
      <c r="M2285" s="92"/>
    </row>
    <row r="2286">
      <c r="A2286" s="103"/>
      <c r="C2286" s="92"/>
      <c r="E2286" s="92"/>
      <c r="F2286" s="105"/>
      <c r="I2286" s="105"/>
      <c r="J2286" s="105"/>
      <c r="K2286" s="92"/>
      <c r="M2286" s="92"/>
    </row>
    <row r="2287">
      <c r="A2287" s="103"/>
      <c r="C2287" s="92"/>
      <c r="E2287" s="92"/>
      <c r="F2287" s="105"/>
      <c r="I2287" s="105"/>
      <c r="J2287" s="105"/>
      <c r="K2287" s="92"/>
      <c r="M2287" s="92"/>
    </row>
    <row r="2288">
      <c r="A2288" s="103"/>
      <c r="C2288" s="92"/>
      <c r="E2288" s="92"/>
      <c r="F2288" s="105"/>
      <c r="I2288" s="105"/>
      <c r="J2288" s="105"/>
      <c r="K2288" s="92"/>
      <c r="M2288" s="92"/>
    </row>
    <row r="2289">
      <c r="A2289" s="103"/>
      <c r="C2289" s="92"/>
      <c r="E2289" s="92"/>
      <c r="F2289" s="105"/>
      <c r="I2289" s="105"/>
      <c r="J2289" s="105"/>
      <c r="K2289" s="92"/>
      <c r="M2289" s="92"/>
    </row>
    <row r="2290">
      <c r="A2290" s="103"/>
      <c r="C2290" s="92"/>
      <c r="E2290" s="92"/>
      <c r="F2290" s="105"/>
      <c r="I2290" s="105"/>
      <c r="J2290" s="105"/>
      <c r="K2290" s="92"/>
      <c r="M2290" s="92"/>
    </row>
    <row r="2291">
      <c r="A2291" s="103"/>
      <c r="C2291" s="92"/>
      <c r="E2291" s="92"/>
      <c r="F2291" s="105"/>
      <c r="I2291" s="105"/>
      <c r="J2291" s="105"/>
      <c r="K2291" s="92"/>
      <c r="M2291" s="92"/>
    </row>
    <row r="2292">
      <c r="A2292" s="103"/>
      <c r="C2292" s="92"/>
      <c r="E2292" s="92"/>
      <c r="F2292" s="105"/>
      <c r="I2292" s="105"/>
      <c r="J2292" s="105"/>
      <c r="K2292" s="92"/>
      <c r="M2292" s="92"/>
    </row>
    <row r="2293">
      <c r="A2293" s="103"/>
      <c r="C2293" s="92"/>
      <c r="E2293" s="92"/>
      <c r="F2293" s="105"/>
      <c r="I2293" s="105"/>
      <c r="J2293" s="105"/>
      <c r="K2293" s="92"/>
      <c r="M2293" s="92"/>
    </row>
  </sheetData>
  <customSheetViews>
    <customSheetView guid="{FFFA9780-FE0C-48B1-B941-390F089B565F}" filter="1" showAutoFilter="1">
      <autoFilter ref="$H$1:$H$2293">
        <filterColumn colId="0">
          <filters>
            <filter val="22"/>
            <filter val="Yes"/>
            <filter val="Reuse"/>
            <filter val="Reuse&#10;(Read the comment on its closed PR)"/>
            <filter val="Changed to reuse on 2021/02/11"/>
            <filter val="Can be reused"/>
            <filter val="Possibly"/>
            <filter val="We can reuse that"/>
            <filter val="x, but respecify"/>
            <filter val="Redone in Spring 2021 and merged"/>
            <filter val="Yes - They worked on the master branch, so it could be very easy to redo the project on beta"/>
            <filter val="x"/>
            <filter val="x, but not hi priority"/>
            <filter val="?"/>
          </filters>
        </filterColumn>
      </autoFilter>
    </customSheetView>
    <customSheetView guid="{16EFDDDF-95FE-4939-9F4F-18F86F2CDD78}" filter="1" showAutoFilter="1">
      <autoFilter ref="$D$1:$D$2293"/>
    </customSheetView>
    <customSheetView guid="{CE24E9EA-D809-48E8-B29D-47F9E8D45A69}" filter="1" showAutoFilter="1">
      <autoFilter ref="$D$1:$D$2293"/>
    </customSheetView>
  </customSheetViews>
  <mergeCells count="45">
    <mergeCell ref="A2:A8"/>
    <mergeCell ref="A9:A17"/>
    <mergeCell ref="A18:A31"/>
    <mergeCell ref="A32:A53"/>
    <mergeCell ref="A56:A67"/>
    <mergeCell ref="A68:A82"/>
    <mergeCell ref="A83:A108"/>
    <mergeCell ref="A109:A143"/>
    <mergeCell ref="A144:A158"/>
    <mergeCell ref="A159:A181"/>
    <mergeCell ref="A182:A207"/>
    <mergeCell ref="A208:A243"/>
    <mergeCell ref="A244:A253"/>
    <mergeCell ref="A254:A271"/>
    <mergeCell ref="A272:A297"/>
    <mergeCell ref="A299:A342"/>
    <mergeCell ref="A343:A356"/>
    <mergeCell ref="A357:A376"/>
    <mergeCell ref="A377:A411"/>
    <mergeCell ref="A412:A456"/>
    <mergeCell ref="A457:A469"/>
    <mergeCell ref="A470:A485"/>
    <mergeCell ref="A486:A502"/>
    <mergeCell ref="A503:A527"/>
    <mergeCell ref="A528:A539"/>
    <mergeCell ref="A540:A551"/>
    <mergeCell ref="A552:A565"/>
    <mergeCell ref="A566:A583"/>
    <mergeCell ref="A584:A588"/>
    <mergeCell ref="A589:A594"/>
    <mergeCell ref="A595:A611"/>
    <mergeCell ref="A612:A627"/>
    <mergeCell ref="A628:A648"/>
    <mergeCell ref="A649:A654"/>
    <mergeCell ref="A655:A679"/>
    <mergeCell ref="A807:A813"/>
    <mergeCell ref="A814:A820"/>
    <mergeCell ref="A821:A833"/>
    <mergeCell ref="A680:A716"/>
    <mergeCell ref="A717:A725"/>
    <mergeCell ref="A726:A736"/>
    <mergeCell ref="A737:A761"/>
    <mergeCell ref="A762:A782"/>
    <mergeCell ref="A783:A797"/>
    <mergeCell ref="A798:A806"/>
  </mergeCells>
  <conditionalFormatting sqref="A807:AA813">
    <cfRule type="colorScale" priority="1">
      <colorScale>
        <cfvo type="min"/>
        <cfvo type="max"/>
        <color rgb="FF57BB8A"/>
        <color rgb="FFFFFFFF"/>
      </colorScale>
    </cfRule>
  </conditionalFormatting>
  <conditionalFormatting sqref="A68:C82">
    <cfRule type="notContainsBlanks" dxfId="0" priority="2">
      <formula>LEN(TRIM(A68))&gt;0</formula>
    </cfRule>
  </conditionalFormatting>
  <hyperlinks>
    <hyperlink r:id="rId2" ref="D2"/>
    <hyperlink r:id="rId3" ref="E2"/>
    <hyperlink r:id="rId4" ref="D4"/>
    <hyperlink r:id="rId5" ref="E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 r:id="rId22" ref="D13"/>
    <hyperlink r:id="rId23" ref="E13"/>
    <hyperlink r:id="rId24" ref="D14"/>
    <hyperlink r:id="rId25" ref="E14"/>
    <hyperlink r:id="rId26" ref="D15"/>
    <hyperlink r:id="rId27" ref="E15"/>
    <hyperlink r:id="rId28" ref="D16"/>
    <hyperlink r:id="rId29" ref="E16"/>
    <hyperlink r:id="rId30" ref="D17"/>
    <hyperlink r:id="rId31" ref="E17"/>
    <hyperlink r:id="rId32" location="Test" ref="E18"/>
    <hyperlink r:id="rId33" ref="E19"/>
    <hyperlink r:id="rId34" location="Design" ref="E20"/>
    <hyperlink r:id="rId35" ref="E21"/>
    <hyperlink r:id="rId36" ref="E22"/>
    <hyperlink r:id="rId37" ref="E23"/>
    <hyperlink r:id="rId38" ref="E24"/>
    <hyperlink r:id="rId39" ref="E25"/>
    <hyperlink r:id="rId40" ref="E26"/>
    <hyperlink r:id="rId41" ref="E27"/>
    <hyperlink r:id="rId42" ref="E28"/>
    <hyperlink r:id="rId43" ref="E29"/>
    <hyperlink r:id="rId44" location="Project_Overview" ref="E30"/>
    <hyperlink r:id="rId45" ref="E31"/>
    <hyperlink r:id="rId46" ref="E32"/>
    <hyperlink r:id="rId47" ref="E33"/>
    <hyperlink r:id="rId48" ref="E34"/>
    <hyperlink r:id="rId49" ref="E35"/>
    <hyperlink r:id="rId50" ref="E36"/>
    <hyperlink r:id="rId51" ref="E37"/>
    <hyperlink r:id="rId52" ref="E38"/>
    <hyperlink r:id="rId53" ref="E39"/>
    <hyperlink r:id="rId54" ref="E40"/>
    <hyperlink r:id="rId55" location="Accomplishments" ref="E42"/>
    <hyperlink r:id="rId56" ref="E43"/>
    <hyperlink r:id="rId57" ref="E45"/>
    <hyperlink r:id="rId58" ref="E46"/>
    <hyperlink r:id="rId59" location="Team" ref="E47"/>
    <hyperlink r:id="rId60" ref="E48"/>
    <hyperlink r:id="rId61" ref="E49"/>
    <hyperlink r:id="rId62" ref="E50"/>
    <hyperlink r:id="rId63" ref="E51"/>
    <hyperlink r:id="rId64" ref="K51"/>
    <hyperlink r:id="rId65" ref="E53"/>
    <hyperlink r:id="rId66" ref="E60"/>
    <hyperlink r:id="rId67" ref="E61"/>
    <hyperlink r:id="rId68" ref="E67"/>
    <hyperlink r:id="rId69" ref="E70"/>
    <hyperlink r:id="rId70" ref="E74"/>
    <hyperlink r:id="rId71" ref="E76"/>
    <hyperlink r:id="rId72" ref="E80"/>
    <hyperlink r:id="rId73" ref="H80"/>
    <hyperlink r:id="rId74" ref="E97"/>
    <hyperlink r:id="rId75" ref="E103"/>
    <hyperlink r:id="rId76" ref="E108"/>
    <hyperlink r:id="rId77" ref="E119"/>
    <hyperlink r:id="rId78" ref="E120"/>
    <hyperlink r:id="rId79" ref="E121"/>
    <hyperlink r:id="rId80" ref="E132"/>
    <hyperlink r:id="rId81" ref="E133"/>
    <hyperlink r:id="rId82" ref="E136"/>
    <hyperlink r:id="rId83" ref="E138"/>
    <hyperlink r:id="rId84" ref="E140"/>
    <hyperlink r:id="rId85" ref="E143"/>
    <hyperlink r:id="rId86" ref="E145"/>
    <hyperlink r:id="rId87" ref="E147"/>
    <hyperlink r:id="rId88" ref="E148"/>
    <hyperlink r:id="rId89" ref="E151"/>
    <hyperlink r:id="rId90" ref="E156"/>
    <hyperlink r:id="rId91" ref="E157"/>
    <hyperlink r:id="rId92" ref="E166"/>
    <hyperlink r:id="rId93" ref="E177"/>
    <hyperlink r:id="rId94" ref="E182"/>
    <hyperlink r:id="rId95" ref="E183"/>
    <hyperlink r:id="rId96" ref="E189"/>
    <hyperlink r:id="rId97" ref="E191"/>
    <hyperlink r:id="rId98" ref="E192"/>
    <hyperlink r:id="rId99" ref="E193"/>
    <hyperlink r:id="rId100" ref="E194"/>
    <hyperlink r:id="rId101" ref="E195"/>
    <hyperlink r:id="rId102" ref="E196"/>
    <hyperlink r:id="rId103" ref="E197"/>
    <hyperlink r:id="rId104" ref="E198"/>
    <hyperlink r:id="rId105" ref="E200"/>
    <hyperlink r:id="rId106" ref="E202"/>
    <hyperlink r:id="rId107" ref="E205"/>
    <hyperlink r:id="rId108" ref="E206"/>
    <hyperlink r:id="rId109" ref="E207"/>
    <hyperlink r:id="rId110" ref="E208"/>
    <hyperlink r:id="rId111" ref="E209"/>
    <hyperlink r:id="rId112" ref="E210"/>
    <hyperlink r:id="rId113" ref="E211"/>
    <hyperlink r:id="rId114" ref="E212"/>
    <hyperlink r:id="rId115" ref="E213"/>
    <hyperlink r:id="rId116" ref="E215"/>
    <hyperlink r:id="rId117" ref="E216"/>
    <hyperlink r:id="rId118" ref="E218"/>
    <hyperlink r:id="rId119" ref="E219"/>
    <hyperlink r:id="rId120" ref="E220"/>
    <hyperlink r:id="rId121" ref="E221"/>
    <hyperlink r:id="rId122" ref="E222"/>
    <hyperlink r:id="rId123" ref="E223"/>
    <hyperlink r:id="rId124" ref="E225"/>
    <hyperlink r:id="rId125" ref="E226"/>
    <hyperlink r:id="rId126" ref="E227"/>
    <hyperlink r:id="rId127" ref="E229"/>
    <hyperlink r:id="rId128" ref="E230"/>
    <hyperlink r:id="rId129" ref="E231"/>
    <hyperlink r:id="rId130" ref="E232"/>
    <hyperlink r:id="rId131" ref="E233"/>
    <hyperlink r:id="rId132" ref="E234"/>
    <hyperlink r:id="rId133" ref="E235"/>
    <hyperlink r:id="rId134" ref="E236"/>
    <hyperlink r:id="rId135" ref="E237"/>
    <hyperlink r:id="rId136" ref="E238"/>
    <hyperlink r:id="rId137" ref="E239"/>
    <hyperlink r:id="rId138" ref="E240"/>
    <hyperlink r:id="rId139" ref="E241"/>
    <hyperlink r:id="rId140" location="issuecomment-433144811" ref="E242"/>
    <hyperlink r:id="rId141" ref="E243"/>
    <hyperlink r:id="rId142" ref="E253"/>
    <hyperlink r:id="rId143" ref="E254"/>
    <hyperlink r:id="rId144" ref="E257"/>
    <hyperlink r:id="rId145" ref="E258"/>
    <hyperlink r:id="rId146" ref="E259"/>
    <hyperlink r:id="rId147" ref="E271"/>
    <hyperlink r:id="rId148" ref="E278"/>
    <hyperlink r:id="rId149" ref="E283"/>
    <hyperlink r:id="rId150" ref="E309"/>
    <hyperlink r:id="rId151" ref="E329"/>
    <hyperlink r:id="rId152" ref="E343"/>
    <hyperlink r:id="rId153" ref="E363"/>
    <hyperlink r:id="rId154" ref="E381"/>
    <hyperlink r:id="rId155" ref="E458"/>
    <hyperlink r:id="rId156" ref="E474"/>
    <hyperlink r:id="rId157" ref="E534"/>
    <hyperlink r:id="rId158" ref="E584"/>
    <hyperlink r:id="rId159" ref="E585"/>
    <hyperlink r:id="rId160" ref="E589"/>
    <hyperlink r:id="rId161" ref="E591"/>
    <hyperlink r:id="rId162" ref="E593"/>
    <hyperlink r:id="rId163" ref="E594"/>
    <hyperlink r:id="rId164" ref="E597"/>
    <hyperlink r:id="rId165" ref="E602"/>
    <hyperlink r:id="rId166" ref="E608"/>
    <hyperlink r:id="rId167" ref="E612"/>
    <hyperlink r:id="rId168" ref="E623"/>
    <hyperlink r:id="rId169" ref="E649"/>
    <hyperlink r:id="rId170" ref="E654"/>
    <hyperlink r:id="rId171" ref="E655"/>
    <hyperlink r:id="rId172" ref="E659"/>
    <hyperlink r:id="rId173" ref="E660"/>
    <hyperlink r:id="rId174" ref="E661"/>
    <hyperlink r:id="rId175" ref="E664"/>
    <hyperlink r:id="rId176" ref="E667"/>
    <hyperlink r:id="rId177" location="heading=h.5cgh9aixuut7" ref="E672"/>
    <hyperlink r:id="rId178" ref="E686"/>
    <hyperlink r:id="rId179" ref="E687"/>
    <hyperlink r:id="rId180" ref="E695"/>
    <hyperlink r:id="rId181" ref="E700"/>
    <hyperlink r:id="rId182" ref="E703"/>
    <hyperlink r:id="rId183" ref="E708"/>
    <hyperlink r:id="rId184" ref="E711"/>
    <hyperlink r:id="rId185" ref="E719"/>
    <hyperlink r:id="rId186" ref="E721"/>
    <hyperlink r:id="rId187" ref="E724"/>
    <hyperlink r:id="rId188" ref="E733"/>
    <hyperlink r:id="rId189" ref="E752"/>
    <hyperlink r:id="rId190" ref="E757"/>
    <hyperlink r:id="rId191" ref="E768"/>
    <hyperlink r:id="rId192" ref="E769"/>
    <hyperlink r:id="rId193" ref="E770"/>
    <hyperlink r:id="rId194" ref="E773"/>
    <hyperlink r:id="rId195" ref="E774"/>
    <hyperlink r:id="rId196" ref="E780"/>
  </hyperlinks>
  <drawing r:id="rId197"/>
  <legacyDrawing r:id="rId1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7.63"/>
    <col customWidth="1" min="2" max="2" width="7.25"/>
    <col customWidth="1" min="3" max="3" width="36.75"/>
    <col customWidth="1" min="4" max="4" width="15.0"/>
    <col customWidth="1" min="5" max="5" width="11.13"/>
    <col customWidth="1" min="6" max="6" width="12.63"/>
    <col customWidth="1" min="7" max="7" width="11.5"/>
    <col customWidth="1" min="8" max="8" width="28.88"/>
    <col customWidth="1" min="9" max="9" width="20.5"/>
    <col customWidth="1" min="10" max="10" width="14.88"/>
    <col customWidth="1" min="11" max="11" width="14.25"/>
    <col customWidth="1" min="13" max="13" width="12.88"/>
    <col customWidth="1" min="16" max="16" width="35.0"/>
  </cols>
  <sheetData>
    <row r="1">
      <c r="A1" s="505"/>
      <c r="B1" s="506"/>
      <c r="C1" s="507"/>
      <c r="D1" s="508"/>
      <c r="E1" s="508" t="s">
        <v>3702</v>
      </c>
      <c r="H1" s="509" t="s">
        <v>3703</v>
      </c>
      <c r="K1" s="510" t="s">
        <v>3704</v>
      </c>
      <c r="M1" s="511" t="s">
        <v>3705</v>
      </c>
      <c r="N1" s="512" t="s">
        <v>3706</v>
      </c>
      <c r="O1" s="513" t="s">
        <v>3707</v>
      </c>
      <c r="P1" s="514" t="s">
        <v>3708</v>
      </c>
      <c r="Q1" s="10"/>
      <c r="R1" s="10"/>
      <c r="S1" s="10"/>
      <c r="T1" s="10"/>
      <c r="U1" s="10"/>
      <c r="V1" s="10"/>
      <c r="W1" s="10"/>
      <c r="X1" s="10"/>
      <c r="Y1" s="10"/>
      <c r="Z1" s="10"/>
      <c r="AA1" s="10"/>
    </row>
    <row r="2">
      <c r="A2" s="505"/>
      <c r="B2" s="506"/>
      <c r="C2" s="507"/>
      <c r="D2" s="515" t="s">
        <v>3709</v>
      </c>
      <c r="E2" s="515" t="s">
        <v>3710</v>
      </c>
      <c r="F2" s="515" t="s">
        <v>3711</v>
      </c>
      <c r="G2" s="515" t="s">
        <v>3712</v>
      </c>
      <c r="H2" s="514" t="s">
        <v>3713</v>
      </c>
      <c r="I2" s="514" t="s">
        <v>3714</v>
      </c>
      <c r="J2" s="512" t="s">
        <v>3715</v>
      </c>
      <c r="K2" s="516" t="s">
        <v>3716</v>
      </c>
      <c r="L2" s="516" t="s">
        <v>3717</v>
      </c>
      <c r="P2" s="514"/>
      <c r="Q2" s="10"/>
      <c r="R2" s="10"/>
      <c r="S2" s="514" t="s">
        <v>3718</v>
      </c>
      <c r="T2" s="514" t="s">
        <v>3719</v>
      </c>
      <c r="U2" s="514" t="s">
        <v>3720</v>
      </c>
      <c r="V2" s="514" t="s">
        <v>3721</v>
      </c>
      <c r="W2" s="514" t="s">
        <v>3722</v>
      </c>
      <c r="X2" s="514" t="s">
        <v>3723</v>
      </c>
      <c r="Y2" s="10"/>
      <c r="Z2" s="10"/>
      <c r="AA2" s="10"/>
    </row>
    <row r="3">
      <c r="A3" s="517" t="s">
        <v>1893</v>
      </c>
      <c r="B3" s="406" t="s">
        <v>1970</v>
      </c>
      <c r="C3" s="518" t="s">
        <v>3724</v>
      </c>
      <c r="D3" s="406"/>
      <c r="E3" s="406"/>
      <c r="F3" s="519"/>
      <c r="G3" s="519"/>
      <c r="H3" s="519" t="s">
        <v>3725</v>
      </c>
      <c r="I3" s="406"/>
      <c r="J3" s="406"/>
      <c r="K3" s="519"/>
      <c r="L3" s="406"/>
      <c r="M3" s="520">
        <v>42839.0</v>
      </c>
      <c r="N3" s="521">
        <v>42828.0</v>
      </c>
      <c r="O3" s="522">
        <f t="shared" ref="O3:O17" si="1">M3-N3</f>
        <v>11</v>
      </c>
      <c r="P3" s="523" t="s">
        <v>3726</v>
      </c>
      <c r="Q3" s="406"/>
      <c r="R3" s="406"/>
      <c r="S3" s="519"/>
      <c r="T3" s="519"/>
      <c r="U3" s="519"/>
      <c r="V3" s="406"/>
      <c r="W3" s="406"/>
      <c r="X3" s="406"/>
      <c r="Y3" s="406"/>
      <c r="Z3" s="406"/>
      <c r="AA3" s="406"/>
    </row>
    <row r="4">
      <c r="B4" s="406" t="s">
        <v>1965</v>
      </c>
      <c r="C4" s="518" t="s">
        <v>3727</v>
      </c>
      <c r="D4" s="406"/>
      <c r="E4" s="406"/>
      <c r="F4" s="519"/>
      <c r="G4" s="519" t="s">
        <v>3728</v>
      </c>
      <c r="H4" s="519"/>
      <c r="I4" s="406"/>
      <c r="J4" s="406"/>
      <c r="K4" s="519"/>
      <c r="L4" s="406"/>
      <c r="M4" s="520">
        <v>42829.0</v>
      </c>
      <c r="N4" s="521">
        <v>42828.0</v>
      </c>
      <c r="O4" s="522">
        <f t="shared" si="1"/>
        <v>1</v>
      </c>
      <c r="P4" s="523" t="s">
        <v>3729</v>
      </c>
      <c r="Q4" s="406"/>
      <c r="R4" s="406"/>
      <c r="S4" s="519"/>
      <c r="T4" s="519"/>
      <c r="U4" s="519"/>
      <c r="V4" s="406"/>
      <c r="W4" s="406"/>
      <c r="X4" s="406"/>
      <c r="Y4" s="406"/>
      <c r="Z4" s="406"/>
      <c r="AA4" s="406"/>
    </row>
    <row r="5">
      <c r="B5" s="406" t="s">
        <v>1960</v>
      </c>
      <c r="C5" s="518" t="s">
        <v>3730</v>
      </c>
      <c r="D5" s="406"/>
      <c r="E5" s="406"/>
      <c r="F5" s="519"/>
      <c r="G5" s="519"/>
      <c r="H5" s="519"/>
      <c r="I5" s="406"/>
      <c r="J5" s="406"/>
      <c r="K5" s="519"/>
      <c r="L5" s="406" t="s">
        <v>3728</v>
      </c>
      <c r="M5" s="520">
        <v>42839.0</v>
      </c>
      <c r="N5" s="521">
        <v>42828.0</v>
      </c>
      <c r="O5" s="522">
        <f t="shared" si="1"/>
        <v>11</v>
      </c>
      <c r="P5" s="523" t="s">
        <v>3731</v>
      </c>
      <c r="Q5" s="406"/>
      <c r="R5" s="406"/>
      <c r="S5" s="519"/>
      <c r="T5" s="519"/>
      <c r="U5" s="519"/>
      <c r="V5" s="406"/>
      <c r="W5" s="406"/>
      <c r="X5" s="406"/>
      <c r="Y5" s="406"/>
      <c r="Z5" s="406"/>
      <c r="AA5" s="406"/>
    </row>
    <row r="6">
      <c r="B6" s="406" t="s">
        <v>1955</v>
      </c>
      <c r="C6" s="518" t="s">
        <v>3732</v>
      </c>
      <c r="D6" s="406"/>
      <c r="E6" s="406"/>
      <c r="F6" s="519"/>
      <c r="G6" s="519" t="s">
        <v>3728</v>
      </c>
      <c r="H6" s="519"/>
      <c r="I6" s="406"/>
      <c r="J6" s="406"/>
      <c r="K6" s="519"/>
      <c r="L6" s="406"/>
      <c r="M6" s="520">
        <v>42829.0</v>
      </c>
      <c r="N6" s="521">
        <v>42828.0</v>
      </c>
      <c r="O6" s="522">
        <f t="shared" si="1"/>
        <v>1</v>
      </c>
      <c r="P6" s="523" t="s">
        <v>3733</v>
      </c>
      <c r="Q6" s="406"/>
      <c r="R6" s="406"/>
      <c r="S6" s="519"/>
      <c r="T6" s="519"/>
      <c r="U6" s="519"/>
      <c r="V6" s="406"/>
      <c r="W6" s="406"/>
      <c r="X6" s="406"/>
      <c r="Y6" s="406"/>
      <c r="Z6" s="406"/>
      <c r="AA6" s="406"/>
    </row>
    <row r="7">
      <c r="B7" s="406" t="s">
        <v>1949</v>
      </c>
      <c r="C7" s="518" t="s">
        <v>875</v>
      </c>
      <c r="D7" s="406"/>
      <c r="E7" s="406"/>
      <c r="F7" s="519"/>
      <c r="G7" s="519"/>
      <c r="H7" s="519"/>
      <c r="I7" s="406"/>
      <c r="J7" s="406" t="s">
        <v>3728</v>
      </c>
      <c r="K7" s="519"/>
      <c r="L7" s="406"/>
      <c r="M7" s="520">
        <v>42839.0</v>
      </c>
      <c r="N7" s="521">
        <v>42828.0</v>
      </c>
      <c r="O7" s="522">
        <f t="shared" si="1"/>
        <v>11</v>
      </c>
      <c r="P7" s="523" t="s">
        <v>3734</v>
      </c>
      <c r="Q7" s="406"/>
      <c r="R7" s="406"/>
      <c r="S7" s="519"/>
      <c r="T7" s="519"/>
      <c r="U7" s="519"/>
      <c r="V7" s="406"/>
      <c r="W7" s="406"/>
      <c r="X7" s="406"/>
      <c r="Y7" s="406"/>
      <c r="Z7" s="406"/>
      <c r="AA7" s="406"/>
    </row>
    <row r="8">
      <c r="B8" s="406" t="s">
        <v>1942</v>
      </c>
      <c r="C8" s="518" t="s">
        <v>3735</v>
      </c>
      <c r="D8" s="406"/>
      <c r="E8" s="406"/>
      <c r="F8" s="519"/>
      <c r="G8" s="519" t="s">
        <v>3728</v>
      </c>
      <c r="H8" s="519"/>
      <c r="I8" s="406"/>
      <c r="J8" s="406"/>
      <c r="K8" s="519"/>
      <c r="L8" s="406"/>
      <c r="M8" s="520">
        <v>42839.0</v>
      </c>
      <c r="N8" s="521">
        <v>42828.0</v>
      </c>
      <c r="O8" s="522">
        <f t="shared" si="1"/>
        <v>11</v>
      </c>
      <c r="P8" s="523" t="s">
        <v>3736</v>
      </c>
      <c r="Q8" s="406"/>
      <c r="R8" s="406"/>
      <c r="S8" s="519"/>
      <c r="T8" s="519"/>
      <c r="U8" s="519"/>
      <c r="V8" s="406"/>
      <c r="W8" s="406"/>
      <c r="X8" s="406"/>
      <c r="Y8" s="406"/>
      <c r="Z8" s="406"/>
      <c r="AA8" s="406"/>
    </row>
    <row r="9">
      <c r="B9" s="406" t="s">
        <v>1936</v>
      </c>
      <c r="C9" s="518" t="s">
        <v>3737</v>
      </c>
      <c r="D9" s="406"/>
      <c r="E9" s="406"/>
      <c r="F9" s="519" t="s">
        <v>3728</v>
      </c>
      <c r="G9" s="519"/>
      <c r="H9" s="519"/>
      <c r="I9" s="406"/>
      <c r="J9" s="406"/>
      <c r="K9" s="519"/>
      <c r="L9" s="406"/>
      <c r="M9" s="520">
        <v>42830.0</v>
      </c>
      <c r="N9" s="521">
        <v>42828.0</v>
      </c>
      <c r="O9" s="522">
        <f t="shared" si="1"/>
        <v>2</v>
      </c>
      <c r="P9" s="523" t="s">
        <v>3738</v>
      </c>
      <c r="Q9" s="406"/>
      <c r="R9" s="406"/>
      <c r="S9" s="519"/>
      <c r="T9" s="519"/>
      <c r="U9" s="519"/>
      <c r="V9" s="406"/>
      <c r="W9" s="406"/>
      <c r="X9" s="406"/>
      <c r="Y9" s="406"/>
      <c r="Z9" s="406"/>
      <c r="AA9" s="406"/>
    </row>
    <row r="10">
      <c r="B10" s="406" t="s">
        <v>1931</v>
      </c>
      <c r="C10" s="518" t="s">
        <v>3739</v>
      </c>
      <c r="D10" s="406"/>
      <c r="E10" s="406"/>
      <c r="F10" s="519"/>
      <c r="G10" s="519" t="s">
        <v>3728</v>
      </c>
      <c r="H10" s="519"/>
      <c r="I10" s="406"/>
      <c r="J10" s="406"/>
      <c r="K10" s="519"/>
      <c r="L10" s="406"/>
      <c r="M10" s="520">
        <v>42830.0</v>
      </c>
      <c r="N10" s="521">
        <v>42828.0</v>
      </c>
      <c r="O10" s="522">
        <f t="shared" si="1"/>
        <v>2</v>
      </c>
      <c r="P10" s="523" t="s">
        <v>3740</v>
      </c>
      <c r="Q10" s="406"/>
      <c r="R10" s="406"/>
      <c r="S10" s="519"/>
      <c r="T10" s="519"/>
      <c r="U10" s="519"/>
      <c r="V10" s="406"/>
      <c r="W10" s="406"/>
      <c r="X10" s="406"/>
      <c r="Y10" s="406"/>
      <c r="Z10" s="406"/>
      <c r="AA10" s="406"/>
    </row>
    <row r="11">
      <c r="B11" s="406" t="s">
        <v>1926</v>
      </c>
      <c r="C11" s="518" t="s">
        <v>3741</v>
      </c>
      <c r="D11" s="406"/>
      <c r="E11" s="406"/>
      <c r="F11" s="519"/>
      <c r="G11" s="519"/>
      <c r="H11" s="519" t="s">
        <v>3742</v>
      </c>
      <c r="I11" s="406"/>
      <c r="J11" s="406"/>
      <c r="K11" s="519"/>
      <c r="L11" s="406"/>
      <c r="M11" s="520">
        <v>42831.0</v>
      </c>
      <c r="N11" s="521">
        <v>42828.0</v>
      </c>
      <c r="O11" s="522">
        <f t="shared" si="1"/>
        <v>3</v>
      </c>
      <c r="P11" s="523" t="s">
        <v>3743</v>
      </c>
      <c r="Q11" s="406"/>
      <c r="R11" s="406"/>
      <c r="S11" s="519"/>
      <c r="T11" s="519"/>
      <c r="U11" s="519"/>
      <c r="V11" s="406"/>
      <c r="W11" s="406"/>
      <c r="X11" s="406"/>
      <c r="Y11" s="406"/>
      <c r="Z11" s="406"/>
      <c r="AA11" s="406"/>
    </row>
    <row r="12">
      <c r="B12" s="406" t="s">
        <v>1920</v>
      </c>
      <c r="C12" s="518" t="s">
        <v>3744</v>
      </c>
      <c r="D12" s="406"/>
      <c r="E12" s="406"/>
      <c r="F12" s="519"/>
      <c r="G12" s="519" t="s">
        <v>3728</v>
      </c>
      <c r="H12" s="519"/>
      <c r="I12" s="406"/>
      <c r="J12" s="406"/>
      <c r="K12" s="519"/>
      <c r="L12" s="406"/>
      <c r="M12" s="520">
        <v>42831.0</v>
      </c>
      <c r="N12" s="521">
        <v>42828.0</v>
      </c>
      <c r="O12" s="522">
        <f t="shared" si="1"/>
        <v>3</v>
      </c>
      <c r="P12" s="523" t="s">
        <v>3745</v>
      </c>
      <c r="Q12" s="406"/>
      <c r="R12" s="406"/>
      <c r="S12" s="519"/>
      <c r="T12" s="519"/>
      <c r="U12" s="519"/>
      <c r="V12" s="406"/>
      <c r="W12" s="406"/>
      <c r="X12" s="406"/>
      <c r="Y12" s="406"/>
      <c r="Z12" s="406"/>
      <c r="AA12" s="406"/>
    </row>
    <row r="13">
      <c r="B13" s="406" t="s">
        <v>1914</v>
      </c>
      <c r="C13" s="518" t="s">
        <v>3746</v>
      </c>
      <c r="D13" s="406"/>
      <c r="E13" s="406"/>
      <c r="F13" s="519"/>
      <c r="G13" s="519" t="s">
        <v>3728</v>
      </c>
      <c r="H13" s="519"/>
      <c r="I13" s="406"/>
      <c r="J13" s="406"/>
      <c r="K13" s="519"/>
      <c r="L13" s="406"/>
      <c r="M13" s="520">
        <v>42829.0</v>
      </c>
      <c r="N13" s="521">
        <v>42828.0</v>
      </c>
      <c r="O13" s="522">
        <f t="shared" si="1"/>
        <v>1</v>
      </c>
      <c r="P13" s="523" t="s">
        <v>3747</v>
      </c>
      <c r="Q13" s="406"/>
      <c r="R13" s="406"/>
      <c r="S13" s="519"/>
      <c r="T13" s="519"/>
      <c r="U13" s="519"/>
      <c r="V13" s="406"/>
      <c r="W13" s="406"/>
      <c r="X13" s="406"/>
      <c r="Y13" s="406"/>
      <c r="Z13" s="406"/>
      <c r="AA13" s="406"/>
    </row>
    <row r="14">
      <c r="B14" s="406" t="s">
        <v>1909</v>
      </c>
      <c r="C14" s="518" t="s">
        <v>3748</v>
      </c>
      <c r="D14" s="406"/>
      <c r="E14" s="406"/>
      <c r="F14" s="519"/>
      <c r="G14" s="519" t="s">
        <v>3728</v>
      </c>
      <c r="H14" s="519"/>
      <c r="I14" s="406"/>
      <c r="J14" s="406"/>
      <c r="K14" s="519"/>
      <c r="L14" s="406"/>
      <c r="M14" s="520">
        <v>42829.0</v>
      </c>
      <c r="N14" s="521">
        <v>42828.0</v>
      </c>
      <c r="O14" s="522">
        <f t="shared" si="1"/>
        <v>1</v>
      </c>
      <c r="P14" s="523" t="s">
        <v>3749</v>
      </c>
      <c r="Q14" s="406"/>
      <c r="R14" s="406"/>
      <c r="S14" s="519"/>
      <c r="T14" s="519"/>
      <c r="U14" s="519"/>
      <c r="V14" s="406"/>
      <c r="W14" s="406"/>
      <c r="X14" s="406"/>
      <c r="Y14" s="406"/>
      <c r="Z14" s="406"/>
      <c r="AA14" s="406"/>
    </row>
    <row r="15">
      <c r="B15" s="406" t="s">
        <v>1904</v>
      </c>
      <c r="C15" s="518" t="s">
        <v>3750</v>
      </c>
      <c r="D15" s="406"/>
      <c r="E15" s="406"/>
      <c r="F15" s="519"/>
      <c r="G15" s="519" t="s">
        <v>3728</v>
      </c>
      <c r="H15" s="519"/>
      <c r="I15" s="406"/>
      <c r="J15" s="406"/>
      <c r="K15" s="519"/>
      <c r="L15" s="406"/>
      <c r="M15" s="520">
        <v>42831.0</v>
      </c>
      <c r="N15" s="521">
        <v>42828.0</v>
      </c>
      <c r="O15" s="522">
        <f t="shared" si="1"/>
        <v>3</v>
      </c>
      <c r="P15" s="523" t="s">
        <v>3751</v>
      </c>
      <c r="Q15" s="406"/>
      <c r="R15" s="406"/>
      <c r="S15" s="519"/>
      <c r="T15" s="519"/>
      <c r="U15" s="519"/>
      <c r="V15" s="406"/>
      <c r="W15" s="406"/>
      <c r="X15" s="406"/>
      <c r="Y15" s="406"/>
      <c r="Z15" s="406"/>
      <c r="AA15" s="406"/>
    </row>
    <row r="16">
      <c r="B16" s="406" t="s">
        <v>1899</v>
      </c>
      <c r="C16" s="518" t="s">
        <v>3752</v>
      </c>
      <c r="D16" s="406"/>
      <c r="E16" s="406"/>
      <c r="F16" s="519"/>
      <c r="G16" s="519" t="s">
        <v>3728</v>
      </c>
      <c r="H16" s="519"/>
      <c r="I16" s="406"/>
      <c r="J16" s="406"/>
      <c r="K16" s="519"/>
      <c r="L16" s="406"/>
      <c r="M16" s="520">
        <v>42830.0</v>
      </c>
      <c r="N16" s="521">
        <v>42828.0</v>
      </c>
      <c r="O16" s="522">
        <f t="shared" si="1"/>
        <v>2</v>
      </c>
      <c r="P16" s="523" t="s">
        <v>3753</v>
      </c>
      <c r="Q16" s="406"/>
      <c r="R16" s="406"/>
      <c r="S16" s="519"/>
      <c r="T16" s="519"/>
      <c r="U16" s="519"/>
      <c r="V16" s="406"/>
      <c r="W16" s="406"/>
      <c r="X16" s="406"/>
      <c r="Y16" s="406"/>
      <c r="Z16" s="406"/>
      <c r="AA16" s="406"/>
    </row>
    <row r="17">
      <c r="B17" s="406" t="s">
        <v>1894</v>
      </c>
      <c r="C17" s="518" t="s">
        <v>3754</v>
      </c>
      <c r="D17" s="406"/>
      <c r="E17" s="406"/>
      <c r="F17" s="519"/>
      <c r="G17" s="519"/>
      <c r="H17" s="519" t="s">
        <v>3755</v>
      </c>
      <c r="I17" s="406"/>
      <c r="J17" s="406"/>
      <c r="K17" s="519"/>
      <c r="L17" s="406"/>
      <c r="M17" s="520">
        <v>42839.0</v>
      </c>
      <c r="N17" s="521">
        <v>42828.0</v>
      </c>
      <c r="O17" s="522">
        <f t="shared" si="1"/>
        <v>11</v>
      </c>
      <c r="P17" s="523" t="s">
        <v>3756</v>
      </c>
      <c r="Q17" s="406"/>
      <c r="R17" s="406"/>
      <c r="S17" s="519"/>
      <c r="T17" s="519"/>
      <c r="U17" s="519"/>
      <c r="V17" s="406"/>
      <c r="W17" s="406"/>
      <c r="X17" s="406"/>
      <c r="Y17" s="406"/>
      <c r="Z17" s="406"/>
      <c r="AA17" s="406"/>
    </row>
    <row r="18">
      <c r="A18" s="524" t="s">
        <v>1840</v>
      </c>
      <c r="B18" s="525" t="s">
        <v>1888</v>
      </c>
      <c r="C18" s="526" t="s">
        <v>3757</v>
      </c>
      <c r="D18" s="527"/>
      <c r="E18" s="527"/>
      <c r="F18" s="528"/>
      <c r="G18" s="528"/>
      <c r="H18" s="528" t="s">
        <v>3725</v>
      </c>
      <c r="I18" s="527"/>
      <c r="J18" s="529"/>
      <c r="K18" s="530"/>
      <c r="L18" s="529"/>
      <c r="M18" s="531"/>
      <c r="N18" s="532"/>
      <c r="O18" s="530"/>
      <c r="P18" s="533" t="s">
        <v>3758</v>
      </c>
      <c r="Q18" s="527"/>
      <c r="R18" s="527"/>
      <c r="S18" s="528"/>
      <c r="T18" s="528"/>
      <c r="U18" s="528"/>
      <c r="V18" s="527"/>
      <c r="W18" s="527"/>
      <c r="X18" s="527"/>
      <c r="Y18" s="527"/>
      <c r="Z18" s="527"/>
      <c r="AA18" s="527"/>
    </row>
    <row r="19">
      <c r="B19" s="525" t="s">
        <v>1883</v>
      </c>
      <c r="C19" s="526" t="s">
        <v>3759</v>
      </c>
      <c r="D19" s="527"/>
      <c r="E19" s="527"/>
      <c r="F19" s="528"/>
      <c r="G19" s="528"/>
      <c r="H19" s="528" t="s">
        <v>3755</v>
      </c>
      <c r="I19" s="528" t="s">
        <v>3728</v>
      </c>
      <c r="J19" s="529"/>
      <c r="K19" s="530"/>
      <c r="L19" s="529"/>
      <c r="M19" s="531"/>
      <c r="N19" s="532"/>
      <c r="O19" s="530"/>
      <c r="P19" s="533" t="s">
        <v>3760</v>
      </c>
      <c r="Q19" s="527"/>
      <c r="R19" s="527"/>
      <c r="S19" s="528"/>
      <c r="T19" s="528"/>
      <c r="U19" s="528"/>
      <c r="V19" s="527"/>
      <c r="W19" s="527"/>
      <c r="X19" s="527"/>
      <c r="Y19" s="527"/>
      <c r="Z19" s="527"/>
      <c r="AA19" s="527"/>
    </row>
    <row r="20">
      <c r="B20" s="525" t="s">
        <v>1878</v>
      </c>
      <c r="C20" s="526" t="s">
        <v>2551</v>
      </c>
      <c r="D20" s="527"/>
      <c r="E20" s="527"/>
      <c r="F20" s="528"/>
      <c r="G20" s="528"/>
      <c r="H20" s="528" t="s">
        <v>3755</v>
      </c>
      <c r="I20" s="527"/>
      <c r="J20" s="530"/>
      <c r="K20" s="530"/>
      <c r="L20" s="529"/>
      <c r="M20" s="531"/>
      <c r="N20" s="532"/>
      <c r="O20" s="530"/>
      <c r="P20" s="533" t="s">
        <v>3761</v>
      </c>
      <c r="Q20" s="527"/>
      <c r="R20" s="527"/>
      <c r="S20" s="528"/>
      <c r="T20" s="528"/>
      <c r="U20" s="528"/>
      <c r="V20" s="527"/>
      <c r="W20" s="527"/>
      <c r="X20" s="527"/>
      <c r="Y20" s="527"/>
      <c r="Z20" s="527"/>
      <c r="AA20" s="527"/>
    </row>
    <row r="21">
      <c r="B21" s="525" t="s">
        <v>1873</v>
      </c>
      <c r="C21" s="526" t="s">
        <v>3762</v>
      </c>
      <c r="D21" s="527"/>
      <c r="E21" s="527"/>
      <c r="F21" s="528"/>
      <c r="G21" s="528" t="s">
        <v>3728</v>
      </c>
      <c r="H21" s="528"/>
      <c r="I21" s="527"/>
      <c r="J21" s="529"/>
      <c r="K21" s="530"/>
      <c r="L21" s="529"/>
      <c r="M21" s="531"/>
      <c r="N21" s="532"/>
      <c r="O21" s="530"/>
      <c r="P21" s="533" t="s">
        <v>3763</v>
      </c>
      <c r="Q21" s="527"/>
      <c r="R21" s="527"/>
      <c r="S21" s="528"/>
      <c r="T21" s="528"/>
      <c r="U21" s="528"/>
      <c r="V21" s="527"/>
      <c r="W21" s="527"/>
      <c r="X21" s="527"/>
      <c r="Y21" s="527"/>
      <c r="Z21" s="527"/>
      <c r="AA21" s="527"/>
    </row>
    <row r="22">
      <c r="B22" s="525" t="s">
        <v>1868</v>
      </c>
      <c r="C22" s="526" t="s">
        <v>2572</v>
      </c>
      <c r="D22" s="527"/>
      <c r="E22" s="527"/>
      <c r="F22" s="528"/>
      <c r="G22" s="528" t="s">
        <v>3728</v>
      </c>
      <c r="H22" s="528"/>
      <c r="I22" s="527"/>
      <c r="J22" s="529"/>
      <c r="K22" s="530"/>
      <c r="L22" s="529"/>
      <c r="M22" s="531"/>
      <c r="N22" s="532"/>
      <c r="O22" s="530"/>
      <c r="P22" s="533" t="s">
        <v>3764</v>
      </c>
      <c r="Q22" s="527"/>
      <c r="R22" s="527"/>
      <c r="S22" s="528"/>
      <c r="T22" s="528"/>
      <c r="U22" s="528"/>
      <c r="V22" s="527"/>
      <c r="W22" s="527"/>
      <c r="X22" s="527"/>
      <c r="Y22" s="527"/>
      <c r="Z22" s="527"/>
      <c r="AA22" s="527"/>
    </row>
    <row r="23">
      <c r="B23" s="525" t="s">
        <v>1863</v>
      </c>
      <c r="C23" s="526" t="s">
        <v>3765</v>
      </c>
      <c r="D23" s="527"/>
      <c r="E23" s="527"/>
      <c r="F23" s="528"/>
      <c r="G23" s="528"/>
      <c r="H23" s="528" t="s">
        <v>3725</v>
      </c>
      <c r="I23" s="527"/>
      <c r="J23" s="529"/>
      <c r="K23" s="530"/>
      <c r="L23" s="529"/>
      <c r="M23" s="531"/>
      <c r="N23" s="532"/>
      <c r="O23" s="530"/>
      <c r="P23" s="533" t="s">
        <v>3766</v>
      </c>
      <c r="Q23" s="527"/>
      <c r="R23" s="527"/>
      <c r="S23" s="528"/>
      <c r="T23" s="528"/>
      <c r="U23" s="528"/>
      <c r="V23" s="527"/>
      <c r="W23" s="527"/>
      <c r="X23" s="527"/>
      <c r="Y23" s="527"/>
      <c r="Z23" s="527"/>
      <c r="AA23" s="527"/>
    </row>
    <row r="24">
      <c r="B24" s="525" t="s">
        <v>1859</v>
      </c>
      <c r="C24" s="526" t="s">
        <v>3767</v>
      </c>
      <c r="D24" s="527"/>
      <c r="E24" s="527"/>
      <c r="F24" s="528" t="s">
        <v>3728</v>
      </c>
      <c r="G24" s="528"/>
      <c r="H24" s="528"/>
      <c r="I24" s="527"/>
      <c r="J24" s="529"/>
      <c r="K24" s="530"/>
      <c r="L24" s="529"/>
      <c r="M24" s="531"/>
      <c r="N24" s="532"/>
      <c r="O24" s="530"/>
      <c r="P24" s="533" t="s">
        <v>3768</v>
      </c>
      <c r="Q24" s="527"/>
      <c r="R24" s="527"/>
      <c r="S24" s="528"/>
      <c r="T24" s="528"/>
      <c r="U24" s="528"/>
      <c r="V24" s="527"/>
      <c r="W24" s="527"/>
      <c r="X24" s="527"/>
      <c r="Y24" s="527"/>
      <c r="Z24" s="527"/>
      <c r="AA24" s="527"/>
    </row>
    <row r="25">
      <c r="B25" s="525" t="s">
        <v>1854</v>
      </c>
      <c r="C25" s="526" t="s">
        <v>3769</v>
      </c>
      <c r="D25" s="527"/>
      <c r="E25" s="527"/>
      <c r="F25" s="528"/>
      <c r="G25" s="528"/>
      <c r="H25" s="528"/>
      <c r="I25" s="528" t="s">
        <v>3728</v>
      </c>
      <c r="J25" s="529"/>
      <c r="K25" s="530"/>
      <c r="L25" s="529"/>
      <c r="M25" s="531"/>
      <c r="N25" s="532"/>
      <c r="O25" s="530"/>
      <c r="P25" s="533" t="s">
        <v>3770</v>
      </c>
      <c r="Q25" s="527"/>
      <c r="R25" s="527"/>
      <c r="S25" s="528"/>
      <c r="T25" s="528"/>
      <c r="U25" s="528"/>
      <c r="V25" s="527"/>
      <c r="W25" s="527"/>
      <c r="X25" s="527"/>
      <c r="Y25" s="527"/>
      <c r="Z25" s="527"/>
      <c r="AA25" s="527"/>
    </row>
    <row r="26">
      <c r="B26" s="525" t="s">
        <v>1849</v>
      </c>
      <c r="C26" s="526" t="s">
        <v>3771</v>
      </c>
      <c r="D26" s="527"/>
      <c r="E26" s="527"/>
      <c r="F26" s="528"/>
      <c r="G26" s="528"/>
      <c r="H26" s="528" t="s">
        <v>3725</v>
      </c>
      <c r="I26" s="527"/>
      <c r="J26" s="529"/>
      <c r="K26" s="530"/>
      <c r="L26" s="529"/>
      <c r="M26" s="531"/>
      <c r="N26" s="532"/>
      <c r="O26" s="530"/>
      <c r="P26" s="533" t="s">
        <v>3772</v>
      </c>
      <c r="Q26" s="527"/>
      <c r="R26" s="527"/>
      <c r="S26" s="528"/>
      <c r="T26" s="528"/>
      <c r="U26" s="528"/>
      <c r="V26" s="527"/>
      <c r="W26" s="527"/>
      <c r="X26" s="527"/>
      <c r="Y26" s="527"/>
      <c r="Z26" s="527"/>
      <c r="AA26" s="527"/>
    </row>
    <row r="27">
      <c r="B27" s="525" t="s">
        <v>1845</v>
      </c>
      <c r="C27" s="526" t="s">
        <v>3773</v>
      </c>
      <c r="D27" s="527"/>
      <c r="E27" s="527"/>
      <c r="F27" s="528"/>
      <c r="G27" s="528"/>
      <c r="H27" s="528"/>
      <c r="I27" s="527"/>
      <c r="J27" s="529"/>
      <c r="K27" s="530"/>
      <c r="L27" s="530" t="s">
        <v>3728</v>
      </c>
      <c r="M27" s="531"/>
      <c r="N27" s="532"/>
      <c r="O27" s="530"/>
      <c r="P27" s="533" t="s">
        <v>3774</v>
      </c>
      <c r="Q27" s="527"/>
      <c r="R27" s="527"/>
      <c r="S27" s="528"/>
      <c r="T27" s="528"/>
      <c r="U27" s="528"/>
      <c r="V27" s="527"/>
      <c r="W27" s="527"/>
      <c r="X27" s="527"/>
      <c r="Y27" s="527"/>
      <c r="Z27" s="527"/>
      <c r="AA27" s="527"/>
    </row>
    <row r="28">
      <c r="B28" s="525" t="s">
        <v>1841</v>
      </c>
      <c r="C28" s="526" t="s">
        <v>3775</v>
      </c>
      <c r="D28" s="527"/>
      <c r="E28" s="527"/>
      <c r="F28" s="528"/>
      <c r="G28" s="528"/>
      <c r="H28" s="528" t="s">
        <v>3742</v>
      </c>
      <c r="I28" s="527"/>
      <c r="J28" s="529"/>
      <c r="K28" s="530"/>
      <c r="L28" s="529"/>
      <c r="M28" s="531"/>
      <c r="N28" s="532"/>
      <c r="O28" s="530"/>
      <c r="P28" s="533" t="s">
        <v>3776</v>
      </c>
      <c r="Q28" s="527"/>
      <c r="R28" s="527"/>
      <c r="S28" s="528"/>
      <c r="T28" s="528"/>
      <c r="U28" s="528"/>
      <c r="V28" s="527"/>
      <c r="W28" s="527"/>
      <c r="X28" s="527"/>
      <c r="Y28" s="527"/>
      <c r="Z28" s="527"/>
      <c r="AA28" s="527"/>
    </row>
    <row r="29">
      <c r="A29" s="534" t="s">
        <v>2135</v>
      </c>
      <c r="B29" s="408" t="s">
        <v>2340</v>
      </c>
      <c r="C29" s="535" t="s">
        <v>3777</v>
      </c>
      <c r="D29" s="536"/>
      <c r="E29" s="536"/>
      <c r="F29" s="537"/>
      <c r="G29" s="537" t="s">
        <v>3778</v>
      </c>
      <c r="H29" s="536"/>
      <c r="I29" s="536"/>
      <c r="J29" s="538"/>
      <c r="K29" s="539" t="s">
        <v>3728</v>
      </c>
      <c r="L29" s="538"/>
      <c r="M29" s="540">
        <v>42636.0</v>
      </c>
      <c r="N29" s="541">
        <v>42678.0</v>
      </c>
      <c r="O29" s="538">
        <f t="shared" ref="O29:O202" si="2">M29-N29</f>
        <v>-42</v>
      </c>
      <c r="P29" s="542" t="s">
        <v>3779</v>
      </c>
      <c r="Q29" s="536"/>
      <c r="R29" s="536"/>
      <c r="S29" s="537" t="s">
        <v>3780</v>
      </c>
      <c r="T29" s="537">
        <v>33.0</v>
      </c>
      <c r="U29" s="537">
        <v>36.0</v>
      </c>
      <c r="V29" s="536"/>
      <c r="W29" s="536"/>
      <c r="X29" s="536"/>
      <c r="Y29" s="536"/>
      <c r="Z29" s="536"/>
      <c r="AA29" s="536"/>
    </row>
    <row r="30">
      <c r="B30" s="408" t="s">
        <v>2335</v>
      </c>
      <c r="C30" s="535" t="s">
        <v>3724</v>
      </c>
      <c r="D30" s="536"/>
      <c r="E30" s="536"/>
      <c r="F30" s="537"/>
      <c r="G30" s="536"/>
      <c r="H30" s="537" t="s">
        <v>3725</v>
      </c>
      <c r="I30" s="536"/>
      <c r="J30" s="538"/>
      <c r="K30" s="539"/>
      <c r="L30" s="538"/>
      <c r="M30" s="540">
        <v>42687.0</v>
      </c>
      <c r="N30" s="541">
        <v>42678.0</v>
      </c>
      <c r="O30" s="538">
        <f t="shared" si="2"/>
        <v>9</v>
      </c>
      <c r="P30" s="542" t="s">
        <v>3781</v>
      </c>
      <c r="Q30" s="536"/>
      <c r="R30" s="536"/>
      <c r="S30" s="536"/>
      <c r="T30" s="537">
        <v>276.0</v>
      </c>
      <c r="U30" s="537">
        <v>170.0</v>
      </c>
      <c r="V30" s="536"/>
      <c r="W30" s="536"/>
      <c r="X30" s="536"/>
      <c r="Y30" s="536"/>
      <c r="Z30" s="536"/>
      <c r="AA30" s="536"/>
    </row>
    <row r="31">
      <c r="B31" s="408" t="s">
        <v>2330</v>
      </c>
      <c r="C31" s="535" t="s">
        <v>3782</v>
      </c>
      <c r="D31" s="536"/>
      <c r="E31" s="536"/>
      <c r="F31" s="537"/>
      <c r="G31" s="536"/>
      <c r="H31" s="537" t="s">
        <v>3783</v>
      </c>
      <c r="I31" s="536"/>
      <c r="J31" s="538"/>
      <c r="K31" s="539"/>
      <c r="L31" s="538"/>
      <c r="M31" s="540">
        <v>42681.0</v>
      </c>
      <c r="N31" s="541">
        <v>42678.0</v>
      </c>
      <c r="O31" s="538">
        <f t="shared" si="2"/>
        <v>3</v>
      </c>
      <c r="P31" s="542" t="s">
        <v>3784</v>
      </c>
      <c r="Q31" s="536"/>
      <c r="R31" s="536"/>
      <c r="S31" s="536"/>
      <c r="T31" s="537">
        <v>244.0</v>
      </c>
      <c r="U31" s="537">
        <v>129.0</v>
      </c>
      <c r="V31" s="536"/>
      <c r="W31" s="536"/>
      <c r="X31" s="536"/>
      <c r="Y31" s="536"/>
      <c r="Z31" s="536"/>
      <c r="AA31" s="536"/>
    </row>
    <row r="32">
      <c r="B32" s="408" t="s">
        <v>2325</v>
      </c>
      <c r="C32" s="535" t="s">
        <v>3785</v>
      </c>
      <c r="D32" s="536"/>
      <c r="E32" s="536"/>
      <c r="F32" s="537"/>
      <c r="G32" s="537" t="s">
        <v>3728</v>
      </c>
      <c r="H32" s="536"/>
      <c r="I32" s="536"/>
      <c r="J32" s="538"/>
      <c r="K32" s="539"/>
      <c r="L32" s="538"/>
      <c r="M32" s="540">
        <v>42684.0</v>
      </c>
      <c r="N32" s="541">
        <v>42678.0</v>
      </c>
      <c r="O32" s="538">
        <f t="shared" si="2"/>
        <v>6</v>
      </c>
      <c r="P32" s="542" t="s">
        <v>3786</v>
      </c>
      <c r="Q32" s="536"/>
      <c r="R32" s="536"/>
      <c r="S32" s="536"/>
      <c r="T32" s="537">
        <v>233.0</v>
      </c>
      <c r="U32" s="537">
        <v>10.0</v>
      </c>
      <c r="V32" s="536"/>
      <c r="W32" s="536"/>
      <c r="X32" s="536"/>
      <c r="Y32" s="536"/>
      <c r="Z32" s="536"/>
      <c r="AA32" s="536"/>
    </row>
    <row r="33">
      <c r="B33" s="408" t="s">
        <v>2320</v>
      </c>
      <c r="C33" s="535" t="s">
        <v>3727</v>
      </c>
      <c r="D33" s="536"/>
      <c r="E33" s="536"/>
      <c r="F33" s="537"/>
      <c r="G33" s="536"/>
      <c r="H33" s="537" t="s">
        <v>3787</v>
      </c>
      <c r="I33" s="536"/>
      <c r="J33" s="538"/>
      <c r="K33" s="539"/>
      <c r="L33" s="538"/>
      <c r="M33" s="540">
        <v>42684.0</v>
      </c>
      <c r="N33" s="541">
        <v>42678.0</v>
      </c>
      <c r="O33" s="538">
        <f t="shared" si="2"/>
        <v>6</v>
      </c>
      <c r="P33" s="542" t="s">
        <v>3788</v>
      </c>
      <c r="Q33" s="536"/>
      <c r="R33" s="536"/>
      <c r="S33" s="536"/>
      <c r="T33" s="537">
        <v>151.0</v>
      </c>
      <c r="U33" s="537">
        <v>130.0</v>
      </c>
      <c r="V33" s="536"/>
      <c r="W33" s="536"/>
      <c r="X33" s="536"/>
      <c r="Y33" s="536"/>
      <c r="Z33" s="536"/>
      <c r="AA33" s="536"/>
    </row>
    <row r="34">
      <c r="B34" s="408" t="s">
        <v>2314</v>
      </c>
      <c r="C34" s="535" t="s">
        <v>3730</v>
      </c>
      <c r="D34" s="536"/>
      <c r="E34" s="536"/>
      <c r="F34" s="537"/>
      <c r="G34" s="536"/>
      <c r="H34" s="537" t="s">
        <v>3789</v>
      </c>
      <c r="I34" s="536"/>
      <c r="J34" s="538"/>
      <c r="K34" s="539"/>
      <c r="L34" s="538"/>
      <c r="M34" s="540">
        <v>42684.0</v>
      </c>
      <c r="N34" s="541">
        <v>42678.0</v>
      </c>
      <c r="O34" s="538">
        <f t="shared" si="2"/>
        <v>6</v>
      </c>
      <c r="P34" s="542" t="s">
        <v>3790</v>
      </c>
      <c r="Q34" s="536"/>
      <c r="R34" s="536"/>
      <c r="S34" s="536"/>
      <c r="T34" s="537">
        <v>595.0</v>
      </c>
      <c r="U34" s="537">
        <v>802.0</v>
      </c>
      <c r="V34" s="536"/>
      <c r="W34" s="536"/>
      <c r="X34" s="536"/>
      <c r="Y34" s="536"/>
      <c r="Z34" s="536"/>
      <c r="AA34" s="536"/>
    </row>
    <row r="35">
      <c r="B35" s="408" t="s">
        <v>2308</v>
      </c>
      <c r="C35" s="535" t="s">
        <v>91</v>
      </c>
      <c r="D35" s="536"/>
      <c r="E35" s="536"/>
      <c r="F35" s="537"/>
      <c r="G35" s="537" t="s">
        <v>3728</v>
      </c>
      <c r="H35" s="536"/>
      <c r="I35" s="536"/>
      <c r="J35" s="538"/>
      <c r="K35" s="539"/>
      <c r="L35" s="538"/>
      <c r="M35" s="540">
        <v>42684.0</v>
      </c>
      <c r="N35" s="541">
        <v>42678.0</v>
      </c>
      <c r="O35" s="538">
        <f t="shared" si="2"/>
        <v>6</v>
      </c>
      <c r="P35" s="542" t="s">
        <v>3791</v>
      </c>
      <c r="Q35" s="536"/>
      <c r="R35" s="536"/>
      <c r="S35" s="536"/>
      <c r="T35" s="537">
        <v>14885.0</v>
      </c>
      <c r="U35" s="537">
        <v>82.0</v>
      </c>
      <c r="V35" s="536"/>
      <c r="W35" s="536"/>
      <c r="X35" s="536"/>
      <c r="Y35" s="536"/>
      <c r="Z35" s="536"/>
      <c r="AA35" s="536"/>
    </row>
    <row r="36">
      <c r="B36" s="408" t="s">
        <v>2303</v>
      </c>
      <c r="C36" s="535" t="s">
        <v>3792</v>
      </c>
      <c r="D36" s="536"/>
      <c r="E36" s="536"/>
      <c r="F36" s="537"/>
      <c r="G36" s="536"/>
      <c r="H36" s="536"/>
      <c r="I36" s="536"/>
      <c r="J36" s="538"/>
      <c r="K36" s="539" t="s">
        <v>3793</v>
      </c>
      <c r="L36" s="538"/>
      <c r="M36" s="540">
        <v>42684.0</v>
      </c>
      <c r="N36" s="541">
        <v>42678.0</v>
      </c>
      <c r="O36" s="538">
        <f t="shared" si="2"/>
        <v>6</v>
      </c>
      <c r="P36" s="542" t="s">
        <v>3794</v>
      </c>
      <c r="Q36" s="537"/>
      <c r="R36" s="536"/>
      <c r="S36" s="536"/>
      <c r="T36" s="537">
        <v>67.0</v>
      </c>
      <c r="U36" s="537">
        <v>206.0</v>
      </c>
      <c r="V36" s="536"/>
      <c r="W36" s="536"/>
      <c r="X36" s="536"/>
      <c r="Y36" s="536"/>
      <c r="Z36" s="536"/>
      <c r="AA36" s="536"/>
    </row>
    <row r="37">
      <c r="B37" s="408" t="s">
        <v>2298</v>
      </c>
      <c r="C37" s="535" t="s">
        <v>3795</v>
      </c>
      <c r="D37" s="536"/>
      <c r="E37" s="536"/>
      <c r="F37" s="537"/>
      <c r="G37" s="536"/>
      <c r="H37" s="536"/>
      <c r="I37" s="536"/>
      <c r="J37" s="538"/>
      <c r="K37" s="539" t="s">
        <v>3728</v>
      </c>
      <c r="L37" s="538"/>
      <c r="M37" s="540">
        <v>42681.0</v>
      </c>
      <c r="N37" s="541">
        <v>42678.0</v>
      </c>
      <c r="O37" s="538">
        <f t="shared" si="2"/>
        <v>3</v>
      </c>
      <c r="P37" s="542" t="s">
        <v>3796</v>
      </c>
      <c r="Q37" s="536"/>
      <c r="R37" s="536"/>
      <c r="S37" s="536"/>
      <c r="T37" s="537">
        <v>348.0</v>
      </c>
      <c r="U37" s="537">
        <v>314.0</v>
      </c>
      <c r="V37" s="536"/>
      <c r="W37" s="536"/>
      <c r="X37" s="536"/>
      <c r="Y37" s="536"/>
      <c r="Z37" s="536"/>
      <c r="AA37" s="536"/>
    </row>
    <row r="38">
      <c r="B38" s="408" t="s">
        <v>2293</v>
      </c>
      <c r="C38" s="535" t="s">
        <v>3797</v>
      </c>
      <c r="D38" s="536"/>
      <c r="E38" s="536"/>
      <c r="F38" s="537"/>
      <c r="G38" s="536"/>
      <c r="H38" s="536"/>
      <c r="I38" s="536"/>
      <c r="J38" s="538"/>
      <c r="K38" s="539" t="s">
        <v>3798</v>
      </c>
      <c r="L38" s="538"/>
      <c r="M38" s="540">
        <v>42690.0</v>
      </c>
      <c r="N38" s="541">
        <v>42678.0</v>
      </c>
      <c r="O38" s="538">
        <f t="shared" si="2"/>
        <v>12</v>
      </c>
      <c r="P38" s="542" t="s">
        <v>3799</v>
      </c>
      <c r="Q38" s="536"/>
      <c r="R38" s="536"/>
      <c r="S38" s="536"/>
      <c r="T38" s="537">
        <v>185.0</v>
      </c>
      <c r="U38" s="537">
        <v>87.0</v>
      </c>
      <c r="V38" s="536"/>
      <c r="W38" s="536"/>
      <c r="X38" s="536"/>
      <c r="Y38" s="536"/>
      <c r="Z38" s="536"/>
      <c r="AA38" s="536"/>
    </row>
    <row r="39">
      <c r="B39" s="408" t="s">
        <v>2288</v>
      </c>
      <c r="C39" s="535" t="s">
        <v>232</v>
      </c>
      <c r="D39" s="536"/>
      <c r="E39" s="536"/>
      <c r="F39" s="537"/>
      <c r="G39" s="536"/>
      <c r="H39" s="536"/>
      <c r="I39" s="536"/>
      <c r="J39" s="538"/>
      <c r="K39" s="539" t="s">
        <v>3798</v>
      </c>
      <c r="L39" s="538"/>
      <c r="M39" s="540">
        <v>42691.0</v>
      </c>
      <c r="N39" s="541">
        <v>42678.0</v>
      </c>
      <c r="O39" s="538">
        <f t="shared" si="2"/>
        <v>13</v>
      </c>
      <c r="P39" s="542" t="s">
        <v>3800</v>
      </c>
      <c r="Q39" s="536"/>
      <c r="R39" s="536"/>
      <c r="S39" s="536"/>
      <c r="T39" s="537">
        <v>16.0</v>
      </c>
      <c r="U39" s="537">
        <v>14.0</v>
      </c>
      <c r="V39" s="536"/>
      <c r="W39" s="536"/>
      <c r="X39" s="536"/>
      <c r="Y39" s="536"/>
      <c r="Z39" s="536"/>
      <c r="AA39" s="536"/>
    </row>
    <row r="40">
      <c r="B40" s="408" t="s">
        <v>2283</v>
      </c>
      <c r="C40" s="535" t="s">
        <v>3801</v>
      </c>
      <c r="D40" s="536"/>
      <c r="E40" s="536"/>
      <c r="F40" s="537"/>
      <c r="G40" s="537" t="s">
        <v>3802</v>
      </c>
      <c r="H40" s="536"/>
      <c r="I40" s="536"/>
      <c r="J40" s="538"/>
      <c r="K40" s="539"/>
      <c r="L40" s="538"/>
      <c r="M40" s="540">
        <v>42682.0</v>
      </c>
      <c r="N40" s="541">
        <v>42678.0</v>
      </c>
      <c r="O40" s="538">
        <f t="shared" si="2"/>
        <v>4</v>
      </c>
      <c r="P40" s="542" t="s">
        <v>3803</v>
      </c>
      <c r="Q40" s="536"/>
      <c r="R40" s="536"/>
      <c r="S40" s="536"/>
      <c r="T40" s="537">
        <v>173.0</v>
      </c>
      <c r="U40" s="537">
        <v>11.0</v>
      </c>
      <c r="V40" s="536"/>
      <c r="W40" s="536"/>
      <c r="X40" s="536"/>
      <c r="Y40" s="536"/>
      <c r="Z40" s="536"/>
      <c r="AA40" s="536"/>
    </row>
    <row r="41">
      <c r="B41" s="408" t="s">
        <v>2278</v>
      </c>
      <c r="C41" s="535" t="s">
        <v>450</v>
      </c>
      <c r="D41" s="536"/>
      <c r="E41" s="536"/>
      <c r="F41" s="537"/>
      <c r="G41" s="537" t="s">
        <v>3728</v>
      </c>
      <c r="H41" s="536"/>
      <c r="I41" s="536"/>
      <c r="J41" s="538"/>
      <c r="K41" s="538"/>
      <c r="L41" s="538"/>
      <c r="M41" s="540">
        <v>42691.0</v>
      </c>
      <c r="N41" s="541">
        <v>42678.0</v>
      </c>
      <c r="O41" s="538">
        <f t="shared" si="2"/>
        <v>13</v>
      </c>
      <c r="P41" s="542" t="s">
        <v>3804</v>
      </c>
      <c r="Q41" s="536"/>
      <c r="R41" s="536"/>
      <c r="S41" s="536"/>
      <c r="T41" s="537">
        <v>239.0</v>
      </c>
      <c r="U41" s="537">
        <v>185.0</v>
      </c>
      <c r="V41" s="536"/>
      <c r="W41" s="536"/>
      <c r="X41" s="536"/>
      <c r="Y41" s="536"/>
      <c r="Z41" s="536"/>
      <c r="AA41" s="536"/>
    </row>
    <row r="42">
      <c r="B42" s="408" t="s">
        <v>2271</v>
      </c>
      <c r="C42" s="535" t="s">
        <v>3805</v>
      </c>
      <c r="D42" s="536"/>
      <c r="E42" s="536"/>
      <c r="F42" s="537"/>
      <c r="G42" s="536"/>
      <c r="H42" s="536"/>
      <c r="I42" s="536"/>
      <c r="J42" s="538"/>
      <c r="K42" s="539" t="s">
        <v>3806</v>
      </c>
      <c r="L42" s="538"/>
      <c r="M42" s="540">
        <v>42697.0</v>
      </c>
      <c r="N42" s="541">
        <v>42678.0</v>
      </c>
      <c r="O42" s="538">
        <f t="shared" si="2"/>
        <v>19</v>
      </c>
      <c r="P42" s="542" t="s">
        <v>3807</v>
      </c>
      <c r="Q42" s="536"/>
      <c r="R42" s="536"/>
      <c r="S42" s="536"/>
      <c r="T42" s="537">
        <v>60.0</v>
      </c>
      <c r="U42" s="537">
        <v>5.0</v>
      </c>
      <c r="V42" s="536"/>
      <c r="W42" s="536"/>
      <c r="X42" s="536"/>
      <c r="Y42" s="536"/>
      <c r="Z42" s="536"/>
      <c r="AA42" s="536"/>
    </row>
    <row r="43">
      <c r="B43" s="408" t="s">
        <v>2266</v>
      </c>
      <c r="C43" s="535" t="s">
        <v>3732</v>
      </c>
      <c r="D43" s="536"/>
      <c r="E43" s="536"/>
      <c r="F43" s="537"/>
      <c r="G43" s="536"/>
      <c r="H43" s="537" t="s">
        <v>3725</v>
      </c>
      <c r="I43" s="536"/>
      <c r="J43" s="538"/>
      <c r="K43" s="539"/>
      <c r="L43" s="538"/>
      <c r="M43" s="540">
        <v>42689.0</v>
      </c>
      <c r="N43" s="541">
        <v>42678.0</v>
      </c>
      <c r="O43" s="538">
        <f t="shared" si="2"/>
        <v>11</v>
      </c>
      <c r="P43" s="542" t="s">
        <v>3808</v>
      </c>
      <c r="Q43" s="536"/>
      <c r="R43" s="536"/>
      <c r="S43" s="536"/>
      <c r="T43" s="537">
        <v>1759.0</v>
      </c>
      <c r="U43" s="537">
        <v>224.0</v>
      </c>
      <c r="V43" s="536"/>
      <c r="W43" s="536"/>
      <c r="X43" s="536"/>
      <c r="Y43" s="536"/>
      <c r="Z43" s="536"/>
      <c r="AA43" s="536"/>
    </row>
    <row r="44">
      <c r="B44" s="408" t="s">
        <v>2261</v>
      </c>
      <c r="C44" s="535" t="s">
        <v>3809</v>
      </c>
      <c r="D44" s="536"/>
      <c r="E44" s="536"/>
      <c r="F44" s="537"/>
      <c r="G44" s="537" t="s">
        <v>3728</v>
      </c>
      <c r="H44" s="536"/>
      <c r="I44" s="536"/>
      <c r="J44" s="538"/>
      <c r="K44" s="539"/>
      <c r="L44" s="538"/>
      <c r="M44" s="540">
        <v>42695.0</v>
      </c>
      <c r="N44" s="541">
        <v>42678.0</v>
      </c>
      <c r="O44" s="538">
        <f t="shared" si="2"/>
        <v>17</v>
      </c>
      <c r="P44" s="542" t="s">
        <v>3810</v>
      </c>
      <c r="Q44" s="536"/>
      <c r="R44" s="536"/>
      <c r="S44" s="536"/>
      <c r="T44" s="537">
        <v>84.0</v>
      </c>
      <c r="U44" s="537">
        <v>12.0</v>
      </c>
      <c r="V44" s="536"/>
      <c r="W44" s="536"/>
      <c r="X44" s="536"/>
      <c r="Y44" s="536"/>
      <c r="Z44" s="536"/>
      <c r="AA44" s="536"/>
    </row>
    <row r="45">
      <c r="B45" s="408" t="s">
        <v>2256</v>
      </c>
      <c r="C45" s="535" t="s">
        <v>3811</v>
      </c>
      <c r="D45" s="536"/>
      <c r="E45" s="536"/>
      <c r="F45" s="537"/>
      <c r="G45" s="537" t="s">
        <v>3812</v>
      </c>
      <c r="H45" s="536"/>
      <c r="I45" s="536"/>
      <c r="J45" s="538"/>
      <c r="K45" s="539"/>
      <c r="L45" s="538"/>
      <c r="M45" s="540">
        <v>42691.0</v>
      </c>
      <c r="N45" s="541">
        <v>42678.0</v>
      </c>
      <c r="O45" s="538">
        <f t="shared" si="2"/>
        <v>13</v>
      </c>
      <c r="P45" s="542" t="s">
        <v>3813</v>
      </c>
      <c r="Q45" s="536"/>
      <c r="R45" s="536"/>
      <c r="S45" s="536"/>
      <c r="T45" s="537">
        <v>178.0</v>
      </c>
      <c r="U45" s="537">
        <v>36.0</v>
      </c>
      <c r="V45" s="536"/>
      <c r="W45" s="536"/>
      <c r="X45" s="536"/>
      <c r="Y45" s="536"/>
      <c r="Z45" s="536"/>
      <c r="AA45" s="536"/>
    </row>
    <row r="46">
      <c r="B46" s="408" t="s">
        <v>2251</v>
      </c>
      <c r="C46" s="535" t="s">
        <v>3814</v>
      </c>
      <c r="D46" s="536"/>
      <c r="E46" s="536"/>
      <c r="F46" s="537"/>
      <c r="G46" s="536"/>
      <c r="H46" s="537" t="s">
        <v>3815</v>
      </c>
      <c r="I46" s="536"/>
      <c r="J46" s="538"/>
      <c r="K46" s="539"/>
      <c r="L46" s="538"/>
      <c r="M46" s="540">
        <v>42683.0</v>
      </c>
      <c r="N46" s="541">
        <v>42678.0</v>
      </c>
      <c r="O46" s="538">
        <f t="shared" si="2"/>
        <v>5</v>
      </c>
      <c r="P46" s="542" t="s">
        <v>3816</v>
      </c>
      <c r="Q46" s="536"/>
      <c r="R46" s="536"/>
      <c r="S46" s="536"/>
      <c r="T46" s="537">
        <v>66.0</v>
      </c>
      <c r="U46" s="537">
        <v>10.0</v>
      </c>
      <c r="V46" s="536"/>
      <c r="W46" s="536"/>
      <c r="X46" s="536"/>
      <c r="Y46" s="536"/>
      <c r="Z46" s="536"/>
      <c r="AA46" s="536"/>
    </row>
    <row r="47">
      <c r="B47" s="408" t="s">
        <v>2246</v>
      </c>
      <c r="C47" s="535" t="s">
        <v>3817</v>
      </c>
      <c r="D47" s="536"/>
      <c r="E47" s="536"/>
      <c r="F47" s="537"/>
      <c r="G47" s="536"/>
      <c r="H47" s="536"/>
      <c r="I47" s="537" t="s">
        <v>3818</v>
      </c>
      <c r="J47" s="538"/>
      <c r="K47" s="539"/>
      <c r="L47" s="538"/>
      <c r="M47" s="540">
        <v>42695.0</v>
      </c>
      <c r="N47" s="541">
        <v>42678.0</v>
      </c>
      <c r="O47" s="538">
        <f t="shared" si="2"/>
        <v>17</v>
      </c>
      <c r="P47" s="542" t="s">
        <v>3819</v>
      </c>
      <c r="Q47" s="536"/>
      <c r="R47" s="536"/>
      <c r="S47" s="536"/>
      <c r="T47" s="537">
        <v>273.0</v>
      </c>
      <c r="U47" s="537">
        <v>131.0</v>
      </c>
      <c r="V47" s="536"/>
      <c r="W47" s="536"/>
      <c r="X47" s="536"/>
      <c r="Y47" s="536"/>
      <c r="Z47" s="536"/>
      <c r="AA47" s="536"/>
    </row>
    <row r="48">
      <c r="B48" s="408" t="s">
        <v>2241</v>
      </c>
      <c r="C48" s="535" t="s">
        <v>3820</v>
      </c>
      <c r="D48" s="536"/>
      <c r="E48" s="536"/>
      <c r="F48" s="537"/>
      <c r="G48" s="537" t="s">
        <v>3821</v>
      </c>
      <c r="H48" s="536"/>
      <c r="I48" s="536"/>
      <c r="J48" s="538"/>
      <c r="K48" s="539"/>
      <c r="L48" s="538"/>
      <c r="M48" s="540">
        <v>42690.0</v>
      </c>
      <c r="N48" s="541">
        <v>42678.0</v>
      </c>
      <c r="O48" s="538">
        <f t="shared" si="2"/>
        <v>12</v>
      </c>
      <c r="P48" s="542" t="s">
        <v>3822</v>
      </c>
      <c r="Q48" s="536"/>
      <c r="R48" s="536"/>
      <c r="S48" s="536"/>
      <c r="T48" s="537">
        <v>101.0</v>
      </c>
      <c r="U48" s="537">
        <v>6.0</v>
      </c>
      <c r="V48" s="536"/>
      <c r="W48" s="536"/>
      <c r="X48" s="536"/>
      <c r="Y48" s="536"/>
      <c r="Z48" s="536"/>
      <c r="AA48" s="536"/>
    </row>
    <row r="49">
      <c r="B49" s="408" t="s">
        <v>2236</v>
      </c>
      <c r="C49" s="535" t="s">
        <v>875</v>
      </c>
      <c r="D49" s="536"/>
      <c r="E49" s="536"/>
      <c r="F49" s="537"/>
      <c r="G49" s="536"/>
      <c r="H49" s="536"/>
      <c r="I49" s="537" t="s">
        <v>3818</v>
      </c>
      <c r="J49" s="538"/>
      <c r="K49" s="539"/>
      <c r="L49" s="538"/>
      <c r="M49" s="540">
        <v>42689.0</v>
      </c>
      <c r="N49" s="541">
        <v>42678.0</v>
      </c>
      <c r="O49" s="538">
        <f t="shared" si="2"/>
        <v>11</v>
      </c>
      <c r="P49" s="542" t="s">
        <v>3823</v>
      </c>
      <c r="Q49" s="536"/>
      <c r="R49" s="536"/>
      <c r="S49" s="536"/>
      <c r="T49" s="537">
        <v>90.0</v>
      </c>
      <c r="U49" s="537">
        <v>3.0</v>
      </c>
      <c r="V49" s="536"/>
      <c r="W49" s="536"/>
      <c r="X49" s="536"/>
      <c r="Y49" s="536"/>
      <c r="Z49" s="536"/>
      <c r="AA49" s="536"/>
    </row>
    <row r="50">
      <c r="B50" s="408" t="s">
        <v>2231</v>
      </c>
      <c r="C50" s="535" t="s">
        <v>1948</v>
      </c>
      <c r="D50" s="536"/>
      <c r="E50" s="536"/>
      <c r="F50" s="537"/>
      <c r="G50" s="536"/>
      <c r="H50" s="537" t="s">
        <v>3725</v>
      </c>
      <c r="I50" s="536"/>
      <c r="J50" s="538"/>
      <c r="K50" s="539"/>
      <c r="L50" s="538"/>
      <c r="M50" s="540">
        <v>42691.0</v>
      </c>
      <c r="N50" s="541">
        <v>42678.0</v>
      </c>
      <c r="O50" s="538">
        <f t="shared" si="2"/>
        <v>13</v>
      </c>
      <c r="P50" s="542" t="s">
        <v>3824</v>
      </c>
      <c r="Q50" s="536"/>
      <c r="R50" s="536"/>
      <c r="S50" s="536"/>
      <c r="T50" s="537">
        <v>264.0</v>
      </c>
      <c r="U50" s="537">
        <v>21.0</v>
      </c>
      <c r="V50" s="536"/>
      <c r="W50" s="536"/>
      <c r="X50" s="536"/>
      <c r="Y50" s="536"/>
      <c r="Z50" s="536"/>
      <c r="AA50" s="536"/>
    </row>
    <row r="51">
      <c r="B51" s="408" t="s">
        <v>2226</v>
      </c>
      <c r="C51" s="535" t="s">
        <v>3825</v>
      </c>
      <c r="D51" s="536"/>
      <c r="E51" s="536"/>
      <c r="F51" s="537"/>
      <c r="G51" s="536"/>
      <c r="H51" s="536"/>
      <c r="I51" s="537" t="s">
        <v>3826</v>
      </c>
      <c r="J51" s="538"/>
      <c r="K51" s="539"/>
      <c r="L51" s="538"/>
      <c r="M51" s="540">
        <v>42691.0</v>
      </c>
      <c r="N51" s="541">
        <v>42678.0</v>
      </c>
      <c r="O51" s="538">
        <f t="shared" si="2"/>
        <v>13</v>
      </c>
      <c r="P51" s="542" t="s">
        <v>3827</v>
      </c>
      <c r="Q51" s="536"/>
      <c r="R51" s="536"/>
      <c r="S51" s="536"/>
      <c r="T51" s="537">
        <v>46.0</v>
      </c>
      <c r="U51" s="537">
        <v>12.0</v>
      </c>
      <c r="V51" s="536"/>
      <c r="W51" s="536"/>
      <c r="X51" s="536"/>
      <c r="Y51" s="536"/>
      <c r="Z51" s="536"/>
      <c r="AA51" s="536"/>
    </row>
    <row r="52">
      <c r="B52" s="408" t="s">
        <v>2221</v>
      </c>
      <c r="C52" s="535" t="s">
        <v>3828</v>
      </c>
      <c r="D52" s="536"/>
      <c r="E52" s="536"/>
      <c r="F52" s="537" t="s">
        <v>3829</v>
      </c>
      <c r="G52" s="537"/>
      <c r="H52" s="536"/>
      <c r="I52" s="536"/>
      <c r="J52" s="538"/>
      <c r="K52" s="539"/>
      <c r="L52" s="538"/>
      <c r="M52" s="540">
        <v>42684.0</v>
      </c>
      <c r="N52" s="541">
        <v>42678.0</v>
      </c>
      <c r="O52" s="538">
        <f t="shared" si="2"/>
        <v>6</v>
      </c>
      <c r="P52" s="542" t="s">
        <v>3830</v>
      </c>
      <c r="Q52" s="536"/>
      <c r="R52" s="536"/>
      <c r="S52" s="536"/>
      <c r="T52" s="537">
        <v>95.0</v>
      </c>
      <c r="U52" s="537">
        <v>43.0</v>
      </c>
      <c r="V52" s="536"/>
      <c r="W52" s="536"/>
      <c r="X52" s="536"/>
      <c r="Y52" s="536"/>
      <c r="Z52" s="536"/>
      <c r="AA52" s="536"/>
    </row>
    <row r="53">
      <c r="B53" s="408" t="s">
        <v>2216</v>
      </c>
      <c r="C53" s="535" t="s">
        <v>3831</v>
      </c>
      <c r="D53" s="536"/>
      <c r="E53" s="536"/>
      <c r="F53" s="537"/>
      <c r="G53" s="537" t="s">
        <v>3728</v>
      </c>
      <c r="H53" s="536"/>
      <c r="I53" s="536"/>
      <c r="J53" s="538"/>
      <c r="K53" s="539"/>
      <c r="L53" s="538"/>
      <c r="M53" s="540">
        <v>42704.0</v>
      </c>
      <c r="N53" s="541">
        <v>42678.0</v>
      </c>
      <c r="O53" s="538">
        <f t="shared" si="2"/>
        <v>26</v>
      </c>
      <c r="P53" s="542" t="s">
        <v>3832</v>
      </c>
      <c r="Q53" s="536"/>
      <c r="R53" s="536"/>
      <c r="S53" s="536"/>
      <c r="T53" s="537">
        <v>606029.0</v>
      </c>
      <c r="U53" s="537">
        <v>114.0</v>
      </c>
      <c r="V53" s="536"/>
      <c r="W53" s="536"/>
      <c r="X53" s="536"/>
      <c r="Y53" s="536"/>
      <c r="Z53" s="536"/>
      <c r="AA53" s="536"/>
    </row>
    <row r="54">
      <c r="B54" s="408" t="s">
        <v>2211</v>
      </c>
      <c r="C54" s="535" t="s">
        <v>3735</v>
      </c>
      <c r="D54" s="536"/>
      <c r="E54" s="536"/>
      <c r="F54" s="537"/>
      <c r="G54" s="536"/>
      <c r="H54" s="537" t="s">
        <v>3742</v>
      </c>
      <c r="I54" s="536"/>
      <c r="J54" s="538"/>
      <c r="K54" s="539"/>
      <c r="L54" s="538"/>
      <c r="M54" s="540">
        <v>42694.0</v>
      </c>
      <c r="N54" s="541">
        <v>42678.0</v>
      </c>
      <c r="O54" s="538">
        <f t="shared" si="2"/>
        <v>16</v>
      </c>
      <c r="P54" s="542" t="s">
        <v>3833</v>
      </c>
      <c r="Q54" s="536"/>
      <c r="R54" s="536"/>
      <c r="S54" s="536"/>
      <c r="T54" s="537">
        <v>564.0</v>
      </c>
      <c r="U54" s="537">
        <v>326.0</v>
      </c>
      <c r="V54" s="536"/>
      <c r="W54" s="536"/>
      <c r="X54" s="536"/>
      <c r="Y54" s="536"/>
      <c r="Z54" s="536"/>
      <c r="AA54" s="536"/>
    </row>
    <row r="55">
      <c r="B55" s="408" t="s">
        <v>2206</v>
      </c>
      <c r="C55" s="535" t="s">
        <v>3834</v>
      </c>
      <c r="D55" s="536"/>
      <c r="E55" s="536"/>
      <c r="F55" s="537"/>
      <c r="G55" s="536"/>
      <c r="H55" s="537" t="s">
        <v>3742</v>
      </c>
      <c r="I55" s="536"/>
      <c r="J55" s="538"/>
      <c r="K55" s="539"/>
      <c r="L55" s="538"/>
      <c r="M55" s="540">
        <v>42694.0</v>
      </c>
      <c r="N55" s="541">
        <v>42678.0</v>
      </c>
      <c r="O55" s="538">
        <f t="shared" si="2"/>
        <v>16</v>
      </c>
      <c r="P55" s="542" t="s">
        <v>3835</v>
      </c>
      <c r="Q55" s="536"/>
      <c r="R55" s="536"/>
      <c r="S55" s="536"/>
      <c r="T55" s="537">
        <v>104.0</v>
      </c>
      <c r="U55" s="537">
        <v>32.0</v>
      </c>
      <c r="V55" s="536"/>
      <c r="W55" s="536"/>
      <c r="X55" s="536"/>
      <c r="Y55" s="536"/>
      <c r="Z55" s="536"/>
      <c r="AA55" s="536"/>
    </row>
    <row r="56">
      <c r="B56" s="408" t="s">
        <v>2201</v>
      </c>
      <c r="C56" s="535" t="s">
        <v>3737</v>
      </c>
      <c r="D56" s="536"/>
      <c r="E56" s="536"/>
      <c r="F56" s="537"/>
      <c r="G56" s="536"/>
      <c r="H56" s="537" t="s">
        <v>3742</v>
      </c>
      <c r="I56" s="536"/>
      <c r="J56" s="538"/>
      <c r="K56" s="539"/>
      <c r="L56" s="538"/>
      <c r="M56" s="540">
        <v>42695.0</v>
      </c>
      <c r="N56" s="541">
        <v>42678.0</v>
      </c>
      <c r="O56" s="538">
        <f t="shared" si="2"/>
        <v>17</v>
      </c>
      <c r="P56" s="542" t="s">
        <v>3836</v>
      </c>
      <c r="Q56" s="536"/>
      <c r="R56" s="536"/>
      <c r="S56" s="536"/>
      <c r="T56" s="537">
        <v>14.0</v>
      </c>
      <c r="U56" s="537">
        <v>1.0</v>
      </c>
      <c r="V56" s="536"/>
      <c r="W56" s="536"/>
      <c r="X56" s="536"/>
      <c r="Y56" s="536"/>
      <c r="Z56" s="536"/>
      <c r="AA56" s="536"/>
    </row>
    <row r="57">
      <c r="B57" s="408" t="s">
        <v>2196</v>
      </c>
      <c r="C57" s="535" t="s">
        <v>3739</v>
      </c>
      <c r="D57" s="536"/>
      <c r="E57" s="536"/>
      <c r="F57" s="537"/>
      <c r="G57" s="536"/>
      <c r="H57" s="537" t="s">
        <v>3742</v>
      </c>
      <c r="I57" s="536"/>
      <c r="J57" s="538"/>
      <c r="K57" s="539"/>
      <c r="L57" s="538"/>
      <c r="M57" s="540">
        <v>42691.0</v>
      </c>
      <c r="N57" s="541">
        <v>42678.0</v>
      </c>
      <c r="O57" s="538">
        <f t="shared" si="2"/>
        <v>13</v>
      </c>
      <c r="P57" s="542" t="s">
        <v>3837</v>
      </c>
      <c r="Q57" s="536"/>
      <c r="R57" s="536"/>
      <c r="S57" s="536"/>
      <c r="T57" s="537">
        <v>279.0</v>
      </c>
      <c r="U57" s="537">
        <v>96.0</v>
      </c>
      <c r="V57" s="536"/>
      <c r="W57" s="536"/>
      <c r="X57" s="536"/>
      <c r="Y57" s="536"/>
      <c r="Z57" s="536"/>
      <c r="AA57" s="536"/>
    </row>
    <row r="58">
      <c r="B58" s="408" t="s">
        <v>2191</v>
      </c>
      <c r="C58" s="535" t="s">
        <v>3838</v>
      </c>
      <c r="D58" s="536"/>
      <c r="E58" s="536"/>
      <c r="F58" s="537"/>
      <c r="G58" s="536"/>
      <c r="H58" s="536"/>
      <c r="I58" s="536"/>
      <c r="J58" s="538"/>
      <c r="K58" s="539" t="s">
        <v>3839</v>
      </c>
      <c r="L58" s="538"/>
      <c r="M58" s="540">
        <v>42693.0</v>
      </c>
      <c r="N58" s="541">
        <v>42678.0</v>
      </c>
      <c r="O58" s="538">
        <f t="shared" si="2"/>
        <v>15</v>
      </c>
      <c r="P58" s="542" t="s">
        <v>3840</v>
      </c>
      <c r="Q58" s="536"/>
      <c r="R58" s="536"/>
      <c r="S58" s="536"/>
      <c r="T58" s="537">
        <v>331.0</v>
      </c>
      <c r="U58" s="537">
        <v>51.0</v>
      </c>
      <c r="V58" s="536"/>
      <c r="W58" s="536"/>
      <c r="X58" s="536"/>
      <c r="Y58" s="536"/>
      <c r="Z58" s="536"/>
      <c r="AA58" s="536"/>
    </row>
    <row r="59">
      <c r="B59" s="408" t="s">
        <v>2186</v>
      </c>
      <c r="C59" s="535" t="s">
        <v>3841</v>
      </c>
      <c r="D59" s="536"/>
      <c r="E59" s="536"/>
      <c r="F59" s="537"/>
      <c r="G59" s="537" t="s">
        <v>3842</v>
      </c>
      <c r="H59" s="536"/>
      <c r="I59" s="536"/>
      <c r="J59" s="538"/>
      <c r="K59" s="539"/>
      <c r="L59" s="538"/>
      <c r="M59" s="540">
        <v>42684.0</v>
      </c>
      <c r="N59" s="541">
        <v>42678.0</v>
      </c>
      <c r="O59" s="538">
        <f t="shared" si="2"/>
        <v>6</v>
      </c>
      <c r="P59" s="542" t="s">
        <v>3840</v>
      </c>
      <c r="Q59" s="536"/>
      <c r="R59" s="536"/>
      <c r="S59" s="536"/>
      <c r="T59" s="537">
        <v>331.0</v>
      </c>
      <c r="U59" s="537">
        <v>51.0</v>
      </c>
      <c r="V59" s="536"/>
      <c r="W59" s="536"/>
      <c r="X59" s="536"/>
      <c r="Y59" s="536"/>
      <c r="Z59" s="536"/>
      <c r="AA59" s="536"/>
    </row>
    <row r="60">
      <c r="B60" s="408" t="s">
        <v>2181</v>
      </c>
      <c r="C60" s="535" t="s">
        <v>3843</v>
      </c>
      <c r="D60" s="536"/>
      <c r="E60" s="536"/>
      <c r="F60" s="537"/>
      <c r="G60" s="536"/>
      <c r="H60" s="536"/>
      <c r="I60" s="536"/>
      <c r="J60" s="539" t="s">
        <v>3844</v>
      </c>
      <c r="K60" s="539"/>
      <c r="L60" s="538"/>
      <c r="M60" s="540">
        <v>42697.0</v>
      </c>
      <c r="N60" s="541">
        <v>42678.0</v>
      </c>
      <c r="O60" s="538">
        <f t="shared" si="2"/>
        <v>19</v>
      </c>
      <c r="P60" s="542" t="s">
        <v>3845</v>
      </c>
      <c r="Q60" s="536"/>
      <c r="R60" s="536"/>
      <c r="S60" s="536"/>
      <c r="T60" s="537">
        <v>1045.0</v>
      </c>
      <c r="U60" s="537">
        <v>0.0</v>
      </c>
      <c r="V60" s="536"/>
      <c r="W60" s="536"/>
      <c r="X60" s="536"/>
      <c r="Y60" s="536"/>
      <c r="Z60" s="536"/>
      <c r="AA60" s="536"/>
    </row>
    <row r="61">
      <c r="B61" s="408" t="s">
        <v>2176</v>
      </c>
      <c r="C61" s="535" t="s">
        <v>3741</v>
      </c>
      <c r="D61" s="536"/>
      <c r="E61" s="536"/>
      <c r="F61" s="537"/>
      <c r="G61" s="536"/>
      <c r="H61" s="537" t="s">
        <v>3725</v>
      </c>
      <c r="I61" s="536"/>
      <c r="J61" s="538"/>
      <c r="K61" s="539"/>
      <c r="L61" s="538"/>
      <c r="M61" s="540">
        <v>42709.0</v>
      </c>
      <c r="N61" s="541">
        <v>42678.0</v>
      </c>
      <c r="O61" s="538">
        <f t="shared" si="2"/>
        <v>31</v>
      </c>
      <c r="P61" s="542" t="s">
        <v>3846</v>
      </c>
      <c r="Q61" s="536"/>
      <c r="R61" s="536"/>
      <c r="S61" s="536"/>
      <c r="T61" s="537">
        <v>397956.0</v>
      </c>
      <c r="U61" s="537">
        <v>41.0</v>
      </c>
      <c r="V61" s="536"/>
      <c r="W61" s="536"/>
      <c r="X61" s="536"/>
      <c r="Y61" s="536"/>
      <c r="Z61" s="536"/>
      <c r="AA61" s="536"/>
    </row>
    <row r="62">
      <c r="B62" s="408" t="s">
        <v>2171</v>
      </c>
      <c r="C62" s="535" t="s">
        <v>3847</v>
      </c>
      <c r="D62" s="536"/>
      <c r="E62" s="536"/>
      <c r="F62" s="537"/>
      <c r="G62" s="536"/>
      <c r="H62" s="537" t="s">
        <v>3848</v>
      </c>
      <c r="I62" s="536"/>
      <c r="J62" s="538"/>
      <c r="K62" s="539"/>
      <c r="L62" s="538"/>
      <c r="M62" s="540">
        <v>42697.0</v>
      </c>
      <c r="N62" s="541">
        <v>42678.0</v>
      </c>
      <c r="O62" s="538">
        <f t="shared" si="2"/>
        <v>19</v>
      </c>
      <c r="P62" s="542" t="s">
        <v>3849</v>
      </c>
      <c r="Q62" s="536"/>
      <c r="R62" s="536"/>
      <c r="S62" s="536"/>
      <c r="T62" s="537">
        <v>270.0</v>
      </c>
      <c r="U62" s="537">
        <v>100.0</v>
      </c>
      <c r="V62" s="536"/>
      <c r="W62" s="536"/>
      <c r="X62" s="536"/>
      <c r="Y62" s="536"/>
      <c r="Z62" s="536"/>
      <c r="AA62" s="536"/>
    </row>
    <row r="63">
      <c r="B63" s="408" t="s">
        <v>2166</v>
      </c>
      <c r="C63" s="535" t="s">
        <v>3850</v>
      </c>
      <c r="D63" s="536"/>
      <c r="E63" s="536"/>
      <c r="F63" s="537"/>
      <c r="G63" s="536"/>
      <c r="H63" s="537" t="s">
        <v>3848</v>
      </c>
      <c r="I63" s="536"/>
      <c r="J63" s="538"/>
      <c r="K63" s="539"/>
      <c r="L63" s="538"/>
      <c r="M63" s="540">
        <v>42695.0</v>
      </c>
      <c r="N63" s="541">
        <v>42678.0</v>
      </c>
      <c r="O63" s="538">
        <f t="shared" si="2"/>
        <v>17</v>
      </c>
      <c r="P63" s="542" t="s">
        <v>3851</v>
      </c>
      <c r="Q63" s="536"/>
      <c r="R63" s="536"/>
      <c r="S63" s="536"/>
      <c r="T63" s="537">
        <v>924.0</v>
      </c>
      <c r="U63" s="537">
        <v>25.0</v>
      </c>
      <c r="V63" s="536"/>
      <c r="W63" s="536"/>
      <c r="X63" s="536"/>
      <c r="Y63" s="536"/>
      <c r="Z63" s="536"/>
      <c r="AA63" s="536"/>
    </row>
    <row r="64">
      <c r="B64" s="408" t="s">
        <v>2161</v>
      </c>
      <c r="C64" s="535" t="s">
        <v>3852</v>
      </c>
      <c r="D64" s="536"/>
      <c r="E64" s="536"/>
      <c r="F64" s="537"/>
      <c r="G64" s="537" t="s">
        <v>3853</v>
      </c>
      <c r="H64" s="536"/>
      <c r="I64" s="536"/>
      <c r="J64" s="538"/>
      <c r="K64" s="539"/>
      <c r="L64" s="538"/>
      <c r="M64" s="540">
        <v>42697.0</v>
      </c>
      <c r="N64" s="541">
        <v>42678.0</v>
      </c>
      <c r="O64" s="538">
        <f t="shared" si="2"/>
        <v>19</v>
      </c>
      <c r="P64" s="542" t="s">
        <v>3854</v>
      </c>
      <c r="Q64" s="536"/>
      <c r="R64" s="536"/>
      <c r="S64" s="536"/>
      <c r="T64" s="537">
        <v>175.0</v>
      </c>
      <c r="U64" s="537">
        <v>0.0</v>
      </c>
      <c r="V64" s="536"/>
      <c r="W64" s="536"/>
      <c r="X64" s="536"/>
      <c r="Y64" s="536"/>
      <c r="Z64" s="536"/>
      <c r="AA64" s="536"/>
    </row>
    <row r="65">
      <c r="B65" s="408" t="s">
        <v>2156</v>
      </c>
      <c r="C65" s="535" t="s">
        <v>3855</v>
      </c>
      <c r="D65" s="536"/>
      <c r="E65" s="536"/>
      <c r="F65" s="537"/>
      <c r="G65" s="537" t="s">
        <v>3853</v>
      </c>
      <c r="H65" s="536"/>
      <c r="I65" s="536"/>
      <c r="J65" s="538"/>
      <c r="K65" s="539"/>
      <c r="L65" s="538"/>
      <c r="M65" s="540">
        <v>42697.0</v>
      </c>
      <c r="N65" s="541">
        <v>42678.0</v>
      </c>
      <c r="O65" s="538">
        <f t="shared" si="2"/>
        <v>19</v>
      </c>
      <c r="P65" s="542" t="s">
        <v>3856</v>
      </c>
      <c r="Q65" s="536"/>
      <c r="R65" s="536"/>
      <c r="S65" s="536"/>
      <c r="T65" s="537">
        <v>268.0</v>
      </c>
      <c r="U65" s="537">
        <v>4.0</v>
      </c>
      <c r="V65" s="536"/>
      <c r="W65" s="536"/>
      <c r="X65" s="536"/>
      <c r="Y65" s="536"/>
      <c r="Z65" s="536"/>
      <c r="AA65" s="536"/>
    </row>
    <row r="66">
      <c r="B66" s="408" t="s">
        <v>2151</v>
      </c>
      <c r="C66" s="535" t="s">
        <v>3744</v>
      </c>
      <c r="D66" s="536"/>
      <c r="E66" s="536"/>
      <c r="F66" s="537"/>
      <c r="G66" s="536"/>
      <c r="H66" s="537" t="s">
        <v>3787</v>
      </c>
      <c r="I66" s="536"/>
      <c r="J66" s="538"/>
      <c r="K66" s="539"/>
      <c r="L66" s="538"/>
      <c r="M66" s="540">
        <v>42685.0</v>
      </c>
      <c r="N66" s="541">
        <v>42678.0</v>
      </c>
      <c r="O66" s="538">
        <f t="shared" si="2"/>
        <v>7</v>
      </c>
      <c r="P66" s="542" t="s">
        <v>3857</v>
      </c>
      <c r="Q66" s="536"/>
      <c r="R66" s="536"/>
      <c r="S66" s="536"/>
      <c r="T66" s="537">
        <v>332.0</v>
      </c>
      <c r="U66" s="537">
        <v>543.0</v>
      </c>
      <c r="V66" s="536"/>
      <c r="W66" s="536"/>
      <c r="X66" s="536"/>
      <c r="Y66" s="536"/>
      <c r="Z66" s="536"/>
      <c r="AA66" s="536"/>
    </row>
    <row r="67">
      <c r="B67" s="408" t="s">
        <v>2146</v>
      </c>
      <c r="C67" s="535" t="s">
        <v>3858</v>
      </c>
      <c r="D67" s="536"/>
      <c r="E67" s="536"/>
      <c r="F67" s="537"/>
      <c r="G67" s="536"/>
      <c r="H67" s="536"/>
      <c r="I67" s="537" t="s">
        <v>3859</v>
      </c>
      <c r="J67" s="538"/>
      <c r="K67" s="539" t="s">
        <v>3860</v>
      </c>
      <c r="L67" s="538"/>
      <c r="M67" s="540">
        <v>42686.0</v>
      </c>
      <c r="N67" s="541">
        <v>42678.0</v>
      </c>
      <c r="O67" s="538">
        <f t="shared" si="2"/>
        <v>8</v>
      </c>
      <c r="P67" s="542" t="s">
        <v>3861</v>
      </c>
      <c r="Q67" s="536"/>
      <c r="R67" s="536"/>
      <c r="S67" s="536"/>
      <c r="T67" s="537">
        <v>455.0</v>
      </c>
      <c r="U67" s="537">
        <v>204.0</v>
      </c>
      <c r="V67" s="536"/>
      <c r="W67" s="536"/>
      <c r="X67" s="536"/>
      <c r="Y67" s="536"/>
      <c r="Z67" s="536"/>
      <c r="AA67" s="536"/>
    </row>
    <row r="68">
      <c r="B68" s="408" t="s">
        <v>2141</v>
      </c>
      <c r="C68" s="535" t="s">
        <v>3862</v>
      </c>
      <c r="D68" s="536"/>
      <c r="E68" s="536"/>
      <c r="F68" s="537"/>
      <c r="G68" s="536"/>
      <c r="H68" s="536"/>
      <c r="I68" s="537" t="s">
        <v>3863</v>
      </c>
      <c r="J68" s="538"/>
      <c r="K68" s="539"/>
      <c r="L68" s="538"/>
      <c r="M68" s="540">
        <v>42684.0</v>
      </c>
      <c r="N68" s="541">
        <v>42678.0</v>
      </c>
      <c r="O68" s="538">
        <f t="shared" si="2"/>
        <v>6</v>
      </c>
      <c r="P68" s="542" t="s">
        <v>3864</v>
      </c>
      <c r="Q68" s="536"/>
      <c r="R68" s="536"/>
      <c r="S68" s="536"/>
      <c r="T68" s="537">
        <v>269.0</v>
      </c>
      <c r="U68" s="537">
        <v>116.0</v>
      </c>
      <c r="V68" s="536"/>
      <c r="W68" s="536"/>
      <c r="X68" s="536"/>
      <c r="Y68" s="536"/>
      <c r="Z68" s="536"/>
      <c r="AA68" s="536"/>
    </row>
    <row r="69">
      <c r="B69" s="408" t="s">
        <v>2136</v>
      </c>
      <c r="C69" s="535" t="s">
        <v>3865</v>
      </c>
      <c r="D69" s="536"/>
      <c r="E69" s="536"/>
      <c r="F69" s="537"/>
      <c r="G69" s="536"/>
      <c r="H69" s="536"/>
      <c r="I69" s="536"/>
      <c r="J69" s="538"/>
      <c r="K69" s="539" t="s">
        <v>3866</v>
      </c>
      <c r="L69" s="538"/>
      <c r="M69" s="540">
        <v>42688.0</v>
      </c>
      <c r="N69" s="541">
        <v>42678.0</v>
      </c>
      <c r="O69" s="538">
        <f t="shared" si="2"/>
        <v>10</v>
      </c>
      <c r="P69" s="542" t="s">
        <v>3867</v>
      </c>
      <c r="Q69" s="536"/>
      <c r="R69" s="536"/>
      <c r="S69" s="536"/>
      <c r="T69" s="537">
        <v>403251.0</v>
      </c>
      <c r="U69" s="537">
        <v>1.0</v>
      </c>
      <c r="V69" s="536"/>
      <c r="W69" s="536"/>
      <c r="X69" s="536"/>
      <c r="Y69" s="536"/>
      <c r="Z69" s="536"/>
      <c r="AA69" s="536"/>
    </row>
    <row r="70">
      <c r="A70" s="543" t="s">
        <v>1975</v>
      </c>
      <c r="B70" s="368" t="s">
        <v>2130</v>
      </c>
      <c r="C70" s="544" t="s">
        <v>3868</v>
      </c>
      <c r="D70" s="545">
        <v>3.0</v>
      </c>
      <c r="E70" s="546"/>
      <c r="F70" s="545"/>
      <c r="G70" s="546"/>
      <c r="H70" s="545" t="s">
        <v>3787</v>
      </c>
      <c r="I70" s="545" t="s">
        <v>3869</v>
      </c>
      <c r="J70" s="547"/>
      <c r="K70" s="548"/>
      <c r="L70" s="547"/>
      <c r="M70" s="549">
        <v>42718.0</v>
      </c>
      <c r="N70" s="550">
        <v>42706.0</v>
      </c>
      <c r="O70" s="547">
        <f t="shared" si="2"/>
        <v>12</v>
      </c>
      <c r="P70" s="551" t="s">
        <v>3870</v>
      </c>
      <c r="Q70" s="546"/>
      <c r="R70" s="546"/>
      <c r="S70" s="546"/>
      <c r="T70" s="545">
        <v>627.0</v>
      </c>
      <c r="U70" s="545">
        <v>150.0</v>
      </c>
      <c r="V70" s="546"/>
      <c r="W70" s="546"/>
      <c r="X70" s="546"/>
      <c r="Y70" s="546"/>
      <c r="Z70" s="546"/>
      <c r="AA70" s="546"/>
    </row>
    <row r="71">
      <c r="B71" s="368" t="s">
        <v>2125</v>
      </c>
      <c r="C71" s="544" t="s">
        <v>2551</v>
      </c>
      <c r="D71" s="545">
        <v>4.0</v>
      </c>
      <c r="E71" s="546"/>
      <c r="F71" s="545"/>
      <c r="G71" s="546"/>
      <c r="H71" s="545" t="s">
        <v>3787</v>
      </c>
      <c r="I71" s="545" t="s">
        <v>3871</v>
      </c>
      <c r="J71" s="548" t="s">
        <v>3728</v>
      </c>
      <c r="K71" s="548"/>
      <c r="L71" s="547"/>
      <c r="M71" s="549">
        <v>42712.0</v>
      </c>
      <c r="N71" s="550">
        <v>42706.0</v>
      </c>
      <c r="O71" s="547">
        <f t="shared" si="2"/>
        <v>6</v>
      </c>
      <c r="P71" s="551" t="s">
        <v>3872</v>
      </c>
      <c r="Q71" s="546"/>
      <c r="R71" s="546"/>
      <c r="S71" s="546"/>
      <c r="T71" s="545">
        <v>2955.0</v>
      </c>
      <c r="U71" s="545">
        <v>8.0</v>
      </c>
      <c r="V71" s="546"/>
      <c r="W71" s="546"/>
      <c r="X71" s="546"/>
      <c r="Y71" s="546"/>
      <c r="Z71" s="546"/>
      <c r="AA71" s="546"/>
    </row>
    <row r="72">
      <c r="B72" s="368" t="s">
        <v>2120</v>
      </c>
      <c r="C72" s="544" t="s">
        <v>3873</v>
      </c>
      <c r="D72" s="545" t="s">
        <v>3874</v>
      </c>
      <c r="E72" s="546"/>
      <c r="F72" s="545"/>
      <c r="G72" s="546"/>
      <c r="H72" s="546"/>
      <c r="I72" s="546"/>
      <c r="J72" s="547"/>
      <c r="K72" s="548" t="s">
        <v>3875</v>
      </c>
      <c r="L72" s="547"/>
      <c r="M72" s="549">
        <v>42712.0</v>
      </c>
      <c r="N72" s="550">
        <v>42706.0</v>
      </c>
      <c r="O72" s="547">
        <f t="shared" si="2"/>
        <v>6</v>
      </c>
      <c r="P72" s="551" t="s">
        <v>3876</v>
      </c>
      <c r="Q72" s="546"/>
      <c r="R72" s="546"/>
      <c r="S72" s="546"/>
      <c r="T72" s="545">
        <v>258.0</v>
      </c>
      <c r="U72" s="545">
        <v>56.0</v>
      </c>
      <c r="V72" s="546"/>
      <c r="W72" s="546"/>
      <c r="X72" s="546"/>
      <c r="Y72" s="546"/>
      <c r="Z72" s="546"/>
      <c r="AA72" s="546"/>
    </row>
    <row r="73">
      <c r="B73" s="368" t="s">
        <v>2115</v>
      </c>
      <c r="C73" s="544" t="s">
        <v>3877</v>
      </c>
      <c r="D73" s="545">
        <v>3.0</v>
      </c>
      <c r="E73" s="546"/>
      <c r="F73" s="545"/>
      <c r="G73" s="546"/>
      <c r="H73" s="546" t="s">
        <v>3742</v>
      </c>
      <c r="I73" s="545" t="s">
        <v>3878</v>
      </c>
      <c r="J73" s="547"/>
      <c r="K73" s="548"/>
      <c r="L73" s="547"/>
      <c r="M73" s="549">
        <v>42717.0</v>
      </c>
      <c r="N73" s="550">
        <v>42706.0</v>
      </c>
      <c r="O73" s="547">
        <f t="shared" si="2"/>
        <v>11</v>
      </c>
      <c r="P73" s="551" t="s">
        <v>3879</v>
      </c>
      <c r="Q73" s="546"/>
      <c r="R73" s="546"/>
      <c r="S73" s="546"/>
      <c r="T73" s="545">
        <v>346.0</v>
      </c>
      <c r="U73" s="545">
        <v>15.0</v>
      </c>
      <c r="V73" s="546"/>
      <c r="W73" s="546"/>
      <c r="X73" s="546"/>
      <c r="Y73" s="546"/>
      <c r="Z73" s="546"/>
      <c r="AA73" s="546"/>
    </row>
    <row r="74">
      <c r="B74" s="368" t="s">
        <v>2110</v>
      </c>
      <c r="C74" s="544" t="s">
        <v>3762</v>
      </c>
      <c r="D74" s="545">
        <v>4.0</v>
      </c>
      <c r="E74" s="546"/>
      <c r="F74" s="545"/>
      <c r="G74" s="546"/>
      <c r="H74" s="545" t="s">
        <v>3787</v>
      </c>
      <c r="I74" s="546"/>
      <c r="J74" s="547"/>
      <c r="K74" s="548"/>
      <c r="L74" s="547"/>
      <c r="M74" s="549">
        <v>42718.0</v>
      </c>
      <c r="N74" s="550">
        <v>42706.0</v>
      </c>
      <c r="O74" s="547">
        <f t="shared" si="2"/>
        <v>12</v>
      </c>
      <c r="P74" s="551" t="s">
        <v>3880</v>
      </c>
      <c r="Q74" s="546"/>
      <c r="R74" s="546"/>
      <c r="S74" s="546"/>
      <c r="T74" s="545">
        <v>741.0</v>
      </c>
      <c r="U74" s="545">
        <v>152.0</v>
      </c>
      <c r="V74" s="546"/>
      <c r="W74" s="546"/>
      <c r="X74" s="546"/>
      <c r="Y74" s="546"/>
      <c r="Z74" s="546"/>
      <c r="AA74" s="546"/>
    </row>
    <row r="75">
      <c r="B75" s="368" t="s">
        <v>2105</v>
      </c>
      <c r="C75" s="544" t="s">
        <v>3881</v>
      </c>
      <c r="D75" s="545" t="s">
        <v>3874</v>
      </c>
      <c r="E75" s="546"/>
      <c r="F75" s="545"/>
      <c r="G75" s="545" t="s">
        <v>3882</v>
      </c>
      <c r="H75" s="546"/>
      <c r="I75" s="546"/>
      <c r="J75" s="547"/>
      <c r="K75" s="548"/>
      <c r="L75" s="547"/>
      <c r="M75" s="549">
        <v>42711.0</v>
      </c>
      <c r="N75" s="550">
        <v>42706.0</v>
      </c>
      <c r="O75" s="547">
        <f t="shared" si="2"/>
        <v>5</v>
      </c>
      <c r="P75" s="551" t="s">
        <v>3883</v>
      </c>
      <c r="Q75" s="546"/>
      <c r="R75" s="546"/>
      <c r="S75" s="546"/>
      <c r="T75" s="545">
        <v>396.0</v>
      </c>
      <c r="U75" s="545">
        <v>175.0</v>
      </c>
      <c r="V75" s="546"/>
      <c r="W75" s="546"/>
      <c r="X75" s="546"/>
      <c r="Y75" s="546"/>
      <c r="Z75" s="546"/>
      <c r="AA75" s="546"/>
    </row>
    <row r="76">
      <c r="B76" s="368" t="s">
        <v>2100</v>
      </c>
      <c r="C76" s="544" t="s">
        <v>3757</v>
      </c>
      <c r="D76" s="545">
        <v>5.0</v>
      </c>
      <c r="E76" s="546"/>
      <c r="F76" s="545"/>
      <c r="G76" s="546"/>
      <c r="H76" s="545" t="s">
        <v>3884</v>
      </c>
      <c r="I76" s="546"/>
      <c r="J76" s="547"/>
      <c r="K76" s="548"/>
      <c r="L76" s="547"/>
      <c r="M76" s="549">
        <v>42718.0</v>
      </c>
      <c r="N76" s="550">
        <v>42706.0</v>
      </c>
      <c r="O76" s="547">
        <f t="shared" si="2"/>
        <v>12</v>
      </c>
      <c r="P76" s="551" t="s">
        <v>3885</v>
      </c>
      <c r="Q76" s="546"/>
      <c r="R76" s="546"/>
      <c r="S76" s="546"/>
      <c r="T76" s="545">
        <v>104.0</v>
      </c>
      <c r="U76" s="545">
        <v>4.0</v>
      </c>
      <c r="V76" s="546"/>
      <c r="W76" s="546"/>
      <c r="X76" s="546"/>
      <c r="Y76" s="546"/>
      <c r="Z76" s="546"/>
      <c r="AA76" s="546"/>
    </row>
    <row r="77">
      <c r="B77" s="368" t="s">
        <v>2095</v>
      </c>
      <c r="C77" s="544" t="s">
        <v>642</v>
      </c>
      <c r="D77" s="545">
        <v>3.0</v>
      </c>
      <c r="E77" s="546"/>
      <c r="F77" s="545"/>
      <c r="G77" s="546"/>
      <c r="H77" s="545" t="s">
        <v>3886</v>
      </c>
      <c r="I77" s="546"/>
      <c r="J77" s="547"/>
      <c r="K77" s="548"/>
      <c r="L77" s="547"/>
      <c r="M77" s="549">
        <v>42718.0</v>
      </c>
      <c r="N77" s="550">
        <v>42706.0</v>
      </c>
      <c r="O77" s="547">
        <f t="shared" si="2"/>
        <v>12</v>
      </c>
      <c r="P77" s="551" t="s">
        <v>3887</v>
      </c>
      <c r="Q77" s="546"/>
      <c r="R77" s="546"/>
      <c r="S77" s="546"/>
      <c r="T77" s="545">
        <v>162.0</v>
      </c>
      <c r="U77" s="545">
        <v>40.0</v>
      </c>
      <c r="V77" s="546"/>
      <c r="W77" s="546"/>
      <c r="X77" s="546"/>
      <c r="Y77" s="546"/>
      <c r="Z77" s="546"/>
      <c r="AA77" s="546"/>
    </row>
    <row r="78">
      <c r="B78" s="368" t="s">
        <v>2090</v>
      </c>
      <c r="C78" s="544" t="s">
        <v>3888</v>
      </c>
      <c r="D78" s="545" t="s">
        <v>3874</v>
      </c>
      <c r="E78" s="546"/>
      <c r="F78" s="545"/>
      <c r="G78" s="545" t="s">
        <v>3889</v>
      </c>
      <c r="H78" s="546"/>
      <c r="I78" s="546"/>
      <c r="J78" s="547"/>
      <c r="K78" s="548"/>
      <c r="L78" s="547"/>
      <c r="M78" s="549">
        <v>42715.0</v>
      </c>
      <c r="N78" s="550">
        <v>42706.0</v>
      </c>
      <c r="O78" s="547">
        <f t="shared" si="2"/>
        <v>9</v>
      </c>
      <c r="P78" s="551" t="s">
        <v>3890</v>
      </c>
      <c r="Q78" s="546"/>
      <c r="R78" s="546"/>
      <c r="S78" s="546"/>
      <c r="T78" s="545">
        <v>158.0</v>
      </c>
      <c r="U78" s="545">
        <v>0.0</v>
      </c>
      <c r="V78" s="546"/>
      <c r="W78" s="546"/>
      <c r="X78" s="546"/>
      <c r="Y78" s="546"/>
      <c r="Z78" s="546"/>
      <c r="AA78" s="546"/>
    </row>
    <row r="79">
      <c r="B79" s="368" t="s">
        <v>2085</v>
      </c>
      <c r="C79" s="544" t="s">
        <v>2572</v>
      </c>
      <c r="D79" s="545">
        <v>4.0</v>
      </c>
      <c r="E79" s="546"/>
      <c r="F79" s="545"/>
      <c r="G79" s="546"/>
      <c r="H79" s="546" t="s">
        <v>3742</v>
      </c>
      <c r="I79" s="546"/>
      <c r="J79" s="547"/>
      <c r="K79" s="548"/>
      <c r="L79" s="547"/>
      <c r="M79" s="549">
        <v>42711.0</v>
      </c>
      <c r="N79" s="550">
        <v>42706.0</v>
      </c>
      <c r="O79" s="547">
        <f t="shared" si="2"/>
        <v>5</v>
      </c>
      <c r="P79" s="551" t="s">
        <v>3891</v>
      </c>
      <c r="Q79" s="546"/>
      <c r="R79" s="546"/>
      <c r="S79" s="546"/>
      <c r="T79" s="545">
        <v>581.0</v>
      </c>
      <c r="U79" s="545">
        <v>472.0</v>
      </c>
      <c r="V79" s="546"/>
      <c r="W79" s="546"/>
      <c r="X79" s="546"/>
      <c r="Y79" s="546"/>
      <c r="Z79" s="546"/>
      <c r="AA79" s="546"/>
    </row>
    <row r="80">
      <c r="B80" s="368" t="s">
        <v>2080</v>
      </c>
      <c r="C80" s="544" t="s">
        <v>2565</v>
      </c>
      <c r="D80" s="545">
        <v>4.0</v>
      </c>
      <c r="E80" s="546"/>
      <c r="F80" s="545"/>
      <c r="G80" s="546"/>
      <c r="H80" s="545" t="s">
        <v>3892</v>
      </c>
      <c r="I80" s="546"/>
      <c r="J80" s="547"/>
      <c r="K80" s="548"/>
      <c r="L80" s="547"/>
      <c r="M80" s="549">
        <v>42711.0</v>
      </c>
      <c r="N80" s="550">
        <v>42706.0</v>
      </c>
      <c r="O80" s="547">
        <f t="shared" si="2"/>
        <v>5</v>
      </c>
      <c r="P80" s="551" t="s">
        <v>3893</v>
      </c>
      <c r="Q80" s="546"/>
      <c r="R80" s="546"/>
      <c r="S80" s="546"/>
      <c r="T80" s="545">
        <v>711.0</v>
      </c>
      <c r="U80" s="545">
        <v>13.0</v>
      </c>
      <c r="V80" s="546"/>
      <c r="W80" s="546"/>
      <c r="X80" s="546"/>
      <c r="Y80" s="546"/>
      <c r="Z80" s="546"/>
      <c r="AA80" s="546"/>
    </row>
    <row r="81">
      <c r="B81" s="368" t="s">
        <v>2075</v>
      </c>
      <c r="C81" s="544" t="s">
        <v>2558</v>
      </c>
      <c r="D81" s="545" t="s">
        <v>3874</v>
      </c>
      <c r="E81" s="546"/>
      <c r="F81" s="545"/>
      <c r="G81" s="545" t="s">
        <v>3894</v>
      </c>
      <c r="H81" s="546"/>
      <c r="I81" s="546"/>
      <c r="J81" s="547"/>
      <c r="K81" s="548"/>
      <c r="L81" s="547"/>
      <c r="M81" s="549">
        <v>42711.0</v>
      </c>
      <c r="N81" s="550">
        <v>42706.0</v>
      </c>
      <c r="O81" s="547">
        <f t="shared" si="2"/>
        <v>5</v>
      </c>
      <c r="P81" s="551" t="s">
        <v>3895</v>
      </c>
      <c r="Q81" s="546"/>
      <c r="R81" s="546"/>
      <c r="S81" s="546"/>
      <c r="T81" s="545">
        <v>329.0</v>
      </c>
      <c r="U81" s="545">
        <v>6.0</v>
      </c>
      <c r="V81" s="546"/>
      <c r="W81" s="546"/>
      <c r="X81" s="546"/>
      <c r="Y81" s="546"/>
      <c r="Z81" s="546"/>
      <c r="AA81" s="546"/>
    </row>
    <row r="82">
      <c r="B82" s="368" t="s">
        <v>2070</v>
      </c>
      <c r="C82" s="544" t="s">
        <v>3896</v>
      </c>
      <c r="D82" s="545">
        <v>3.0</v>
      </c>
      <c r="E82" s="546"/>
      <c r="F82" s="545"/>
      <c r="G82" s="546"/>
      <c r="H82" s="546"/>
      <c r="I82" s="552" t="s">
        <v>3897</v>
      </c>
      <c r="J82" s="547"/>
      <c r="K82" s="548"/>
      <c r="L82" s="547"/>
      <c r="M82" s="549">
        <v>42738.0</v>
      </c>
      <c r="N82" s="550">
        <v>42706.0</v>
      </c>
      <c r="O82" s="547">
        <f t="shared" si="2"/>
        <v>32</v>
      </c>
      <c r="P82" s="551" t="s">
        <v>3898</v>
      </c>
      <c r="Q82" s="546"/>
      <c r="R82" s="546"/>
      <c r="S82" s="546"/>
      <c r="T82" s="546"/>
      <c r="U82" s="546"/>
      <c r="V82" s="546"/>
      <c r="W82" s="546"/>
      <c r="X82" s="546"/>
      <c r="Y82" s="546"/>
      <c r="Z82" s="546"/>
      <c r="AA82" s="546"/>
    </row>
    <row r="83">
      <c r="B83" s="368" t="s">
        <v>2065</v>
      </c>
      <c r="C83" s="544" t="s">
        <v>2513</v>
      </c>
      <c r="D83" s="545">
        <v>2.0</v>
      </c>
      <c r="E83" s="546"/>
      <c r="F83" s="545"/>
      <c r="G83" s="546"/>
      <c r="H83" s="545" t="s">
        <v>3899</v>
      </c>
      <c r="I83" s="546"/>
      <c r="J83" s="547"/>
      <c r="K83" s="548"/>
      <c r="L83" s="547"/>
      <c r="M83" s="549">
        <v>42747.0</v>
      </c>
      <c r="N83" s="550">
        <v>42706.0</v>
      </c>
      <c r="O83" s="547">
        <f t="shared" si="2"/>
        <v>41</v>
      </c>
      <c r="P83" s="551" t="s">
        <v>3900</v>
      </c>
      <c r="Q83" s="546"/>
      <c r="R83" s="546"/>
      <c r="S83" s="546"/>
      <c r="T83" s="545">
        <v>761.0</v>
      </c>
      <c r="U83" s="545">
        <v>9.0</v>
      </c>
      <c r="V83" s="546"/>
      <c r="W83" s="546"/>
      <c r="X83" s="546"/>
      <c r="Y83" s="546"/>
      <c r="Z83" s="546"/>
      <c r="AA83" s="546"/>
    </row>
    <row r="84">
      <c r="B84" s="368" t="s">
        <v>2060</v>
      </c>
      <c r="C84" s="544" t="s">
        <v>2507</v>
      </c>
      <c r="D84" s="545" t="s">
        <v>3874</v>
      </c>
      <c r="E84" s="546"/>
      <c r="F84" s="545"/>
      <c r="G84" s="545" t="s">
        <v>3728</v>
      </c>
      <c r="H84" s="546"/>
      <c r="I84" s="546"/>
      <c r="J84" s="547"/>
      <c r="K84" s="548"/>
      <c r="L84" s="547"/>
      <c r="M84" s="549">
        <v>42761.0</v>
      </c>
      <c r="N84" s="550">
        <v>42706.0</v>
      </c>
      <c r="O84" s="547">
        <f t="shared" si="2"/>
        <v>55</v>
      </c>
      <c r="P84" s="551" t="s">
        <v>3901</v>
      </c>
      <c r="Q84" s="546"/>
      <c r="R84" s="546"/>
      <c r="S84" s="546"/>
      <c r="T84" s="546"/>
      <c r="U84" s="546"/>
      <c r="V84" s="546"/>
      <c r="W84" s="546"/>
      <c r="X84" s="546"/>
      <c r="Y84" s="546"/>
      <c r="Z84" s="546"/>
      <c r="AA84" s="546"/>
    </row>
    <row r="85">
      <c r="B85" s="368" t="s">
        <v>2055</v>
      </c>
      <c r="C85" s="544" t="s">
        <v>3765</v>
      </c>
      <c r="D85" s="545">
        <v>4.0</v>
      </c>
      <c r="E85" s="546"/>
      <c r="F85" s="545"/>
      <c r="G85" s="546"/>
      <c r="H85" s="546" t="s">
        <v>3742</v>
      </c>
      <c r="I85" s="546"/>
      <c r="J85" s="547"/>
      <c r="K85" s="548"/>
      <c r="L85" s="547"/>
      <c r="M85" s="549">
        <v>42715.0</v>
      </c>
      <c r="N85" s="550">
        <v>42706.0</v>
      </c>
      <c r="O85" s="547">
        <f t="shared" si="2"/>
        <v>9</v>
      </c>
      <c r="P85" s="551" t="s">
        <v>3902</v>
      </c>
      <c r="Q85" s="546"/>
      <c r="R85" s="546"/>
      <c r="S85" s="546"/>
      <c r="T85" s="545">
        <v>573.0</v>
      </c>
      <c r="U85" s="545">
        <v>59.0</v>
      </c>
      <c r="V85" s="546"/>
      <c r="W85" s="546"/>
      <c r="X85" s="546"/>
      <c r="Y85" s="546"/>
      <c r="Z85" s="546"/>
      <c r="AA85" s="546"/>
    </row>
    <row r="86">
      <c r="B86" s="368" t="s">
        <v>2050</v>
      </c>
      <c r="C86" s="544" t="s">
        <v>3767</v>
      </c>
      <c r="D86" s="545">
        <v>4.0</v>
      </c>
      <c r="E86" s="546"/>
      <c r="F86" s="545" t="s">
        <v>3728</v>
      </c>
      <c r="G86" s="546"/>
      <c r="H86" s="546"/>
      <c r="I86" s="546"/>
      <c r="J86" s="547"/>
      <c r="K86" s="548"/>
      <c r="L86" s="547"/>
      <c r="M86" s="549">
        <v>42761.0</v>
      </c>
      <c r="N86" s="550">
        <v>42706.0</v>
      </c>
      <c r="O86" s="547">
        <f t="shared" si="2"/>
        <v>55</v>
      </c>
      <c r="P86" s="551" t="s">
        <v>3903</v>
      </c>
      <c r="Q86" s="546"/>
      <c r="R86" s="546"/>
      <c r="S86" s="546"/>
      <c r="T86" s="546"/>
      <c r="U86" s="546"/>
      <c r="V86" s="546"/>
      <c r="W86" s="546"/>
      <c r="X86" s="546"/>
      <c r="Y86" s="546"/>
      <c r="Z86" s="546"/>
      <c r="AA86" s="546"/>
    </row>
    <row r="87">
      <c r="B87" s="368" t="s">
        <v>2045</v>
      </c>
      <c r="C87" s="544" t="s">
        <v>3904</v>
      </c>
      <c r="D87" s="545">
        <v>4.0</v>
      </c>
      <c r="E87" s="546"/>
      <c r="F87" s="545"/>
      <c r="G87" s="546"/>
      <c r="H87" s="545" t="s">
        <v>3905</v>
      </c>
      <c r="I87" s="546"/>
      <c r="J87" s="547"/>
      <c r="K87" s="548"/>
      <c r="L87" s="547"/>
      <c r="M87" s="549">
        <v>42709.0</v>
      </c>
      <c r="N87" s="550">
        <v>42706.0</v>
      </c>
      <c r="O87" s="547">
        <f t="shared" si="2"/>
        <v>3</v>
      </c>
      <c r="P87" s="551" t="s">
        <v>3906</v>
      </c>
      <c r="Q87" s="546"/>
      <c r="R87" s="546"/>
      <c r="S87" s="546"/>
      <c r="T87" s="545">
        <v>85082.0</v>
      </c>
      <c r="U87" s="545">
        <v>62.0</v>
      </c>
      <c r="V87" s="546"/>
      <c r="W87" s="546"/>
      <c r="X87" s="546"/>
      <c r="Y87" s="546"/>
      <c r="Z87" s="546"/>
      <c r="AA87" s="546"/>
    </row>
    <row r="88">
      <c r="B88" s="368" t="s">
        <v>2040</v>
      </c>
      <c r="C88" s="544" t="s">
        <v>3907</v>
      </c>
      <c r="D88" s="545">
        <v>3.0</v>
      </c>
      <c r="E88" s="546"/>
      <c r="F88" s="545"/>
      <c r="G88" s="546"/>
      <c r="H88" s="545" t="s">
        <v>3787</v>
      </c>
      <c r="I88" s="546"/>
      <c r="J88" s="547"/>
      <c r="K88" s="548"/>
      <c r="L88" s="547"/>
      <c r="M88" s="549">
        <v>42716.0</v>
      </c>
      <c r="N88" s="550">
        <v>42706.0</v>
      </c>
      <c r="O88" s="547">
        <f t="shared" si="2"/>
        <v>10</v>
      </c>
      <c r="P88" s="551" t="s">
        <v>3908</v>
      </c>
      <c r="Q88" s="546"/>
      <c r="R88" s="546"/>
      <c r="S88" s="546"/>
      <c r="T88" s="545">
        <v>94.0</v>
      </c>
      <c r="U88" s="545">
        <v>2.0</v>
      </c>
      <c r="V88" s="546"/>
      <c r="W88" s="546"/>
      <c r="X88" s="546"/>
      <c r="Y88" s="546"/>
      <c r="Z88" s="546"/>
      <c r="AA88" s="546"/>
    </row>
    <row r="89">
      <c r="B89" s="368" t="s">
        <v>2034</v>
      </c>
      <c r="C89" s="544" t="s">
        <v>3909</v>
      </c>
      <c r="D89" s="545">
        <v>4.0</v>
      </c>
      <c r="E89" s="546"/>
      <c r="F89" s="545"/>
      <c r="G89" s="546"/>
      <c r="H89" s="545" t="s">
        <v>3910</v>
      </c>
      <c r="I89" s="546"/>
      <c r="J89" s="547"/>
      <c r="K89" s="548"/>
      <c r="L89" s="547"/>
      <c r="M89" s="549">
        <v>42711.0</v>
      </c>
      <c r="N89" s="550">
        <v>42706.0</v>
      </c>
      <c r="O89" s="547">
        <f t="shared" si="2"/>
        <v>5</v>
      </c>
      <c r="P89" s="551" t="s">
        <v>3911</v>
      </c>
      <c r="Q89" s="546"/>
      <c r="R89" s="546"/>
      <c r="S89" s="546"/>
      <c r="T89" s="545">
        <v>105.0</v>
      </c>
      <c r="U89" s="545">
        <v>28.0</v>
      </c>
      <c r="V89" s="546"/>
      <c r="W89" s="546"/>
      <c r="X89" s="546"/>
      <c r="Y89" s="546"/>
      <c r="Z89" s="546"/>
      <c r="AA89" s="546"/>
    </row>
    <row r="90">
      <c r="B90" s="368" t="s">
        <v>2029</v>
      </c>
      <c r="C90" s="544" t="s">
        <v>3912</v>
      </c>
      <c r="D90" s="545" t="s">
        <v>3874</v>
      </c>
      <c r="E90" s="546"/>
      <c r="F90" s="545" t="s">
        <v>3913</v>
      </c>
      <c r="G90" s="546"/>
      <c r="H90" s="546"/>
      <c r="I90" s="546"/>
      <c r="J90" s="547"/>
      <c r="K90" s="548"/>
      <c r="L90" s="547"/>
      <c r="M90" s="549">
        <v>42718.0</v>
      </c>
      <c r="N90" s="550">
        <v>42706.0</v>
      </c>
      <c r="O90" s="547">
        <f t="shared" si="2"/>
        <v>12</v>
      </c>
      <c r="P90" s="551" t="s">
        <v>3914</v>
      </c>
      <c r="Q90" s="546"/>
      <c r="R90" s="546"/>
      <c r="S90" s="546"/>
      <c r="T90" s="545">
        <v>82.0</v>
      </c>
      <c r="U90" s="545">
        <v>11.0</v>
      </c>
      <c r="V90" s="546"/>
      <c r="W90" s="546"/>
      <c r="X90" s="546"/>
      <c r="Y90" s="546"/>
      <c r="Z90" s="546"/>
      <c r="AA90" s="546"/>
    </row>
    <row r="91">
      <c r="B91" s="368" t="s">
        <v>2024</v>
      </c>
      <c r="C91" s="544" t="s">
        <v>3915</v>
      </c>
      <c r="D91" s="545" t="s">
        <v>3916</v>
      </c>
      <c r="E91" s="546"/>
      <c r="F91" s="545"/>
      <c r="G91" s="546"/>
      <c r="H91" s="545" t="s">
        <v>3917</v>
      </c>
      <c r="I91" s="546"/>
      <c r="J91" s="548" t="s">
        <v>3728</v>
      </c>
      <c r="K91" s="548"/>
      <c r="L91" s="547"/>
      <c r="M91" s="549">
        <v>42709.0</v>
      </c>
      <c r="N91" s="550">
        <v>42706.0</v>
      </c>
      <c r="O91" s="547">
        <f t="shared" si="2"/>
        <v>3</v>
      </c>
      <c r="P91" s="551" t="s">
        <v>3918</v>
      </c>
      <c r="Q91" s="546"/>
      <c r="R91" s="546"/>
      <c r="S91" s="546"/>
      <c r="T91" s="545">
        <v>2506.0</v>
      </c>
      <c r="U91" s="545">
        <v>47.0</v>
      </c>
      <c r="V91" s="546"/>
      <c r="W91" s="546"/>
      <c r="X91" s="546"/>
      <c r="Y91" s="546"/>
      <c r="Z91" s="546"/>
      <c r="AA91" s="546"/>
    </row>
    <row r="92">
      <c r="B92" s="368" t="s">
        <v>2008</v>
      </c>
      <c r="C92" s="544" t="s">
        <v>3769</v>
      </c>
      <c r="D92" s="545">
        <v>4.0</v>
      </c>
      <c r="E92" s="546"/>
      <c r="F92" s="545"/>
      <c r="G92" s="546"/>
      <c r="H92" s="545" t="s">
        <v>3919</v>
      </c>
      <c r="I92" s="546"/>
      <c r="J92" s="547"/>
      <c r="K92" s="548"/>
      <c r="L92" s="547"/>
      <c r="M92" s="549">
        <v>42722.0</v>
      </c>
      <c r="N92" s="550">
        <v>42706.0</v>
      </c>
      <c r="O92" s="547">
        <f t="shared" si="2"/>
        <v>16</v>
      </c>
      <c r="P92" s="551" t="s">
        <v>3920</v>
      </c>
      <c r="Q92" s="546"/>
      <c r="R92" s="546"/>
      <c r="S92" s="546"/>
      <c r="T92" s="545">
        <v>555.0</v>
      </c>
      <c r="U92" s="545">
        <v>45.0</v>
      </c>
      <c r="V92" s="546"/>
      <c r="W92" s="546"/>
      <c r="X92" s="546"/>
      <c r="Y92" s="546"/>
      <c r="Z92" s="546"/>
      <c r="AA92" s="546"/>
    </row>
    <row r="93">
      <c r="B93" s="368" t="s">
        <v>2003</v>
      </c>
      <c r="C93" s="544" t="s">
        <v>3759</v>
      </c>
      <c r="D93" s="545">
        <v>5.0</v>
      </c>
      <c r="E93" s="546"/>
      <c r="F93" s="545"/>
      <c r="G93" s="546"/>
      <c r="H93" s="545" t="s">
        <v>3921</v>
      </c>
      <c r="I93" s="546"/>
      <c r="J93" s="547"/>
      <c r="K93" s="548"/>
      <c r="L93" s="547"/>
      <c r="M93" s="549">
        <v>42718.0</v>
      </c>
      <c r="N93" s="550">
        <v>42706.0</v>
      </c>
      <c r="O93" s="547">
        <f t="shared" si="2"/>
        <v>12</v>
      </c>
      <c r="P93" s="551" t="s">
        <v>3922</v>
      </c>
      <c r="Q93" s="546"/>
      <c r="R93" s="546"/>
      <c r="S93" s="546"/>
      <c r="T93" s="545">
        <v>678.0</v>
      </c>
      <c r="U93" s="545">
        <v>136.0</v>
      </c>
      <c r="V93" s="546"/>
      <c r="W93" s="546"/>
      <c r="X93" s="546"/>
      <c r="Y93" s="546"/>
      <c r="Z93" s="546"/>
      <c r="AA93" s="546"/>
    </row>
    <row r="94">
      <c r="B94" s="368" t="s">
        <v>1997</v>
      </c>
      <c r="C94" s="544" t="s">
        <v>3923</v>
      </c>
      <c r="D94" s="545">
        <v>4.0</v>
      </c>
      <c r="E94" s="546"/>
      <c r="F94" s="545"/>
      <c r="G94" s="546"/>
      <c r="H94" s="545" t="s">
        <v>3924</v>
      </c>
      <c r="I94" s="546"/>
      <c r="J94" s="547"/>
      <c r="K94" s="548"/>
      <c r="L94" s="547"/>
      <c r="M94" s="549">
        <v>42793.0</v>
      </c>
      <c r="N94" s="550">
        <v>42706.0</v>
      </c>
      <c r="O94" s="547">
        <f t="shared" si="2"/>
        <v>87</v>
      </c>
      <c r="P94" s="551" t="s">
        <v>3925</v>
      </c>
      <c r="Q94" s="546"/>
      <c r="R94" s="546"/>
      <c r="S94" s="546"/>
      <c r="T94" s="546"/>
      <c r="U94" s="546"/>
      <c r="V94" s="546"/>
      <c r="W94" s="546"/>
      <c r="X94" s="546"/>
      <c r="Y94" s="546"/>
      <c r="Z94" s="546"/>
      <c r="AA94" s="546"/>
    </row>
    <row r="95">
      <c r="B95" s="368" t="s">
        <v>1987</v>
      </c>
      <c r="C95" s="544" t="s">
        <v>3926</v>
      </c>
      <c r="D95" s="545">
        <v>3.0</v>
      </c>
      <c r="E95" s="546"/>
      <c r="F95" s="545"/>
      <c r="G95" s="546"/>
      <c r="H95" s="545" t="s">
        <v>3924</v>
      </c>
      <c r="I95" s="546"/>
      <c r="J95" s="547"/>
      <c r="K95" s="548"/>
      <c r="L95" s="547"/>
      <c r="M95" s="549">
        <v>42787.0</v>
      </c>
      <c r="N95" s="550">
        <v>42706.0</v>
      </c>
      <c r="O95" s="547">
        <f t="shared" si="2"/>
        <v>81</v>
      </c>
      <c r="P95" s="551" t="s">
        <v>3927</v>
      </c>
      <c r="Q95" s="546"/>
      <c r="R95" s="546"/>
      <c r="S95" s="546"/>
      <c r="T95" s="546"/>
      <c r="U95" s="546"/>
      <c r="V95" s="546"/>
      <c r="W95" s="546"/>
      <c r="X95" s="546"/>
      <c r="Y95" s="546"/>
      <c r="Z95" s="546"/>
      <c r="AA95" s="546"/>
    </row>
    <row r="96">
      <c r="B96" s="368" t="s">
        <v>1982</v>
      </c>
      <c r="C96" s="544" t="s">
        <v>3928</v>
      </c>
      <c r="D96" s="545" t="s">
        <v>3929</v>
      </c>
      <c r="E96" s="546"/>
      <c r="F96" s="545"/>
      <c r="G96" s="546"/>
      <c r="H96" s="546"/>
      <c r="I96" s="546"/>
      <c r="J96" s="547"/>
      <c r="K96" s="548" t="s">
        <v>3930</v>
      </c>
      <c r="L96" s="547"/>
      <c r="M96" s="549">
        <v>42747.0</v>
      </c>
      <c r="N96" s="550">
        <v>42706.0</v>
      </c>
      <c r="O96" s="547">
        <f t="shared" si="2"/>
        <v>41</v>
      </c>
      <c r="P96" s="551" t="s">
        <v>3931</v>
      </c>
      <c r="Q96" s="546"/>
      <c r="R96" s="546"/>
      <c r="S96" s="546"/>
      <c r="T96" s="545">
        <v>172.0</v>
      </c>
      <c r="U96" s="545">
        <v>115.0</v>
      </c>
      <c r="V96" s="546"/>
      <c r="W96" s="546"/>
      <c r="X96" s="546"/>
      <c r="Y96" s="546"/>
      <c r="Z96" s="546"/>
      <c r="AA96" s="546"/>
    </row>
    <row r="97">
      <c r="B97" s="368" t="s">
        <v>1977</v>
      </c>
      <c r="C97" s="544" t="s">
        <v>3771</v>
      </c>
      <c r="D97" s="545">
        <v>4.0</v>
      </c>
      <c r="E97" s="546"/>
      <c r="F97" s="545"/>
      <c r="G97" s="546"/>
      <c r="H97" s="545" t="s">
        <v>3917</v>
      </c>
      <c r="I97" s="546"/>
      <c r="J97" s="547"/>
      <c r="K97" s="548"/>
      <c r="L97" s="547"/>
      <c r="M97" s="549">
        <v>42711.0</v>
      </c>
      <c r="N97" s="550">
        <v>42706.0</v>
      </c>
      <c r="O97" s="547">
        <f t="shared" si="2"/>
        <v>5</v>
      </c>
      <c r="P97" s="551" t="s">
        <v>3932</v>
      </c>
      <c r="Q97" s="546"/>
      <c r="R97" s="546"/>
      <c r="S97" s="546"/>
      <c r="T97" s="545">
        <v>240.0</v>
      </c>
      <c r="U97" s="545">
        <v>16.0</v>
      </c>
      <c r="V97" s="546"/>
      <c r="W97" s="546"/>
      <c r="X97" s="546"/>
      <c r="Y97" s="546"/>
      <c r="Z97" s="546"/>
      <c r="AA97" s="546"/>
    </row>
    <row r="98">
      <c r="A98" s="553" t="s">
        <v>2402</v>
      </c>
      <c r="B98" s="353" t="s">
        <v>2475</v>
      </c>
      <c r="C98" s="554" t="s">
        <v>3933</v>
      </c>
      <c r="D98" s="555"/>
      <c r="E98" s="555"/>
      <c r="F98" s="556" t="s">
        <v>3728</v>
      </c>
      <c r="G98" s="555"/>
      <c r="H98" s="555"/>
      <c r="I98" s="555"/>
      <c r="J98" s="557"/>
      <c r="K98" s="558" t="s">
        <v>3934</v>
      </c>
      <c r="L98" s="557"/>
      <c r="M98" s="559">
        <v>42464.0</v>
      </c>
      <c r="N98" s="560">
        <v>42461.0</v>
      </c>
      <c r="O98" s="557">
        <f t="shared" si="2"/>
        <v>3</v>
      </c>
      <c r="P98" s="561" t="s">
        <v>3935</v>
      </c>
      <c r="Q98" s="555"/>
      <c r="R98" s="555"/>
      <c r="S98" s="555"/>
      <c r="T98" s="556">
        <v>677.0</v>
      </c>
      <c r="U98" s="556">
        <v>186.0</v>
      </c>
      <c r="V98" s="555"/>
      <c r="W98" s="555"/>
      <c r="X98" s="555"/>
      <c r="Y98" s="555"/>
      <c r="Z98" s="555"/>
      <c r="AA98" s="555"/>
    </row>
    <row r="99">
      <c r="B99" s="353" t="s">
        <v>2469</v>
      </c>
      <c r="C99" s="554" t="s">
        <v>3936</v>
      </c>
      <c r="D99" s="555"/>
      <c r="E99" s="555"/>
      <c r="F99" s="555"/>
      <c r="G99" s="556" t="s">
        <v>3728</v>
      </c>
      <c r="H99" s="555"/>
      <c r="I99" s="555"/>
      <c r="J99" s="557"/>
      <c r="K99" s="558" t="s">
        <v>3934</v>
      </c>
      <c r="L99" s="557"/>
      <c r="M99" s="559">
        <v>42464.0</v>
      </c>
      <c r="N99" s="560">
        <v>42461.0</v>
      </c>
      <c r="O99" s="557">
        <f t="shared" si="2"/>
        <v>3</v>
      </c>
      <c r="P99" s="561" t="s">
        <v>3937</v>
      </c>
      <c r="Q99" s="555"/>
      <c r="R99" s="555"/>
      <c r="S99" s="555"/>
      <c r="T99" s="556">
        <v>148.0</v>
      </c>
      <c r="U99" s="556">
        <v>74.0</v>
      </c>
      <c r="V99" s="555"/>
      <c r="W99" s="555"/>
      <c r="X99" s="555"/>
      <c r="Y99" s="555"/>
      <c r="Z99" s="555"/>
      <c r="AA99" s="555"/>
    </row>
    <row r="100">
      <c r="B100" s="353" t="s">
        <v>2463</v>
      </c>
      <c r="C100" s="554" t="s">
        <v>3782</v>
      </c>
      <c r="D100" s="555"/>
      <c r="E100" s="555"/>
      <c r="F100" s="555"/>
      <c r="G100" s="555"/>
      <c r="H100" s="556" t="s">
        <v>3917</v>
      </c>
      <c r="I100" s="555"/>
      <c r="J100" s="557"/>
      <c r="K100" s="557"/>
      <c r="L100" s="557"/>
      <c r="M100" s="559">
        <v>42465.0</v>
      </c>
      <c r="N100" s="560">
        <v>42461.0</v>
      </c>
      <c r="O100" s="557">
        <f t="shared" si="2"/>
        <v>4</v>
      </c>
      <c r="P100" s="561" t="s">
        <v>3938</v>
      </c>
      <c r="Q100" s="555"/>
      <c r="R100" s="555"/>
      <c r="S100" s="555"/>
      <c r="T100" s="556">
        <v>472.0</v>
      </c>
      <c r="U100" s="556">
        <v>151.0</v>
      </c>
      <c r="V100" s="555"/>
      <c r="W100" s="555"/>
      <c r="X100" s="555"/>
      <c r="Y100" s="555"/>
      <c r="Z100" s="555"/>
      <c r="AA100" s="555"/>
    </row>
    <row r="101">
      <c r="B101" s="353" t="s">
        <v>2457</v>
      </c>
      <c r="C101" s="554" t="s">
        <v>3939</v>
      </c>
      <c r="D101" s="555"/>
      <c r="E101" s="555"/>
      <c r="F101" s="555"/>
      <c r="G101" s="555"/>
      <c r="H101" s="556" t="s">
        <v>3940</v>
      </c>
      <c r="I101" s="555"/>
      <c r="J101" s="557"/>
      <c r="K101" s="557"/>
      <c r="L101" s="557"/>
      <c r="M101" s="559">
        <v>42466.0</v>
      </c>
      <c r="N101" s="560">
        <v>42461.0</v>
      </c>
      <c r="O101" s="557">
        <f t="shared" si="2"/>
        <v>5</v>
      </c>
      <c r="P101" s="561" t="s">
        <v>3941</v>
      </c>
      <c r="Q101" s="555"/>
      <c r="R101" s="555"/>
      <c r="S101" s="555"/>
      <c r="T101" s="556">
        <v>145.0</v>
      </c>
      <c r="U101" s="556">
        <v>115.0</v>
      </c>
      <c r="V101" s="555"/>
      <c r="W101" s="555"/>
      <c r="X101" s="555"/>
      <c r="Y101" s="555"/>
      <c r="Z101" s="555"/>
      <c r="AA101" s="555"/>
    </row>
    <row r="102">
      <c r="B102" s="353" t="s">
        <v>2451</v>
      </c>
      <c r="C102" s="554" t="s">
        <v>3942</v>
      </c>
      <c r="D102" s="555"/>
      <c r="E102" s="555"/>
      <c r="F102" s="555"/>
      <c r="G102" s="556" t="s">
        <v>3728</v>
      </c>
      <c r="H102" s="555"/>
      <c r="I102" s="555"/>
      <c r="J102" s="557"/>
      <c r="K102" s="557"/>
      <c r="L102" s="557"/>
      <c r="M102" s="559">
        <v>42462.0</v>
      </c>
      <c r="N102" s="560">
        <v>42461.0</v>
      </c>
      <c r="O102" s="557">
        <f t="shared" si="2"/>
        <v>1</v>
      </c>
      <c r="P102" s="561" t="s">
        <v>3943</v>
      </c>
      <c r="Q102" s="555"/>
      <c r="R102" s="555"/>
      <c r="S102" s="555"/>
      <c r="T102" s="556">
        <v>710.0</v>
      </c>
      <c r="U102" s="556">
        <v>53.0</v>
      </c>
      <c r="V102" s="555"/>
      <c r="W102" s="555"/>
      <c r="X102" s="555"/>
      <c r="Y102" s="555"/>
      <c r="Z102" s="555"/>
      <c r="AA102" s="555"/>
    </row>
    <row r="103">
      <c r="B103" s="353" t="s">
        <v>2442</v>
      </c>
      <c r="C103" s="554" t="s">
        <v>3944</v>
      </c>
      <c r="D103" s="555"/>
      <c r="E103" s="555"/>
      <c r="F103" s="555"/>
      <c r="G103" s="556" t="s">
        <v>3728</v>
      </c>
      <c r="H103" s="555"/>
      <c r="I103" s="555"/>
      <c r="J103" s="557"/>
      <c r="K103" s="557"/>
      <c r="L103" s="557"/>
      <c r="M103" s="559">
        <v>42462.0</v>
      </c>
      <c r="N103" s="560">
        <v>42461.0</v>
      </c>
      <c r="O103" s="557">
        <f t="shared" si="2"/>
        <v>1</v>
      </c>
      <c r="P103" s="561" t="s">
        <v>3945</v>
      </c>
      <c r="Q103" s="555"/>
      <c r="R103" s="555"/>
      <c r="S103" s="555"/>
      <c r="T103" s="556">
        <v>439.0</v>
      </c>
      <c r="U103" s="556">
        <v>4.0</v>
      </c>
      <c r="V103" s="555"/>
      <c r="W103" s="555"/>
      <c r="X103" s="555"/>
      <c r="Y103" s="555"/>
      <c r="Z103" s="555"/>
      <c r="AA103" s="555"/>
    </row>
    <row r="104">
      <c r="B104" s="353" t="s">
        <v>2436</v>
      </c>
      <c r="C104" s="554" t="s">
        <v>3946</v>
      </c>
      <c r="D104" s="555"/>
      <c r="E104" s="555"/>
      <c r="F104" s="555"/>
      <c r="G104" s="555"/>
      <c r="H104" s="555"/>
      <c r="I104" s="555"/>
      <c r="J104" s="557"/>
      <c r="K104" s="558" t="s">
        <v>3947</v>
      </c>
      <c r="L104" s="557"/>
      <c r="M104" s="559">
        <v>42462.0</v>
      </c>
      <c r="N104" s="560">
        <v>42461.0</v>
      </c>
      <c r="O104" s="557">
        <f t="shared" si="2"/>
        <v>1</v>
      </c>
      <c r="P104" s="561" t="s">
        <v>3948</v>
      </c>
      <c r="Q104" s="555"/>
      <c r="R104" s="555"/>
      <c r="S104" s="555"/>
      <c r="T104" s="556">
        <v>531.0</v>
      </c>
      <c r="U104" s="556">
        <v>47.0</v>
      </c>
      <c r="V104" s="555"/>
      <c r="W104" s="555"/>
      <c r="X104" s="555"/>
      <c r="Y104" s="555"/>
      <c r="Z104" s="555"/>
      <c r="AA104" s="555"/>
    </row>
    <row r="105">
      <c r="B105" s="353" t="s">
        <v>2430</v>
      </c>
      <c r="C105" s="554" t="s">
        <v>3949</v>
      </c>
      <c r="D105" s="555"/>
      <c r="E105" s="555"/>
      <c r="F105" s="555"/>
      <c r="G105" s="555"/>
      <c r="H105" s="555"/>
      <c r="I105" s="555"/>
      <c r="J105" s="557"/>
      <c r="K105" s="558" t="s">
        <v>3950</v>
      </c>
      <c r="L105" s="557"/>
      <c r="M105" s="559">
        <v>42465.0</v>
      </c>
      <c r="N105" s="560">
        <v>42461.0</v>
      </c>
      <c r="O105" s="557">
        <f t="shared" si="2"/>
        <v>4</v>
      </c>
      <c r="P105" s="561" t="s">
        <v>3951</v>
      </c>
      <c r="Q105" s="555"/>
      <c r="R105" s="555"/>
      <c r="S105" s="555"/>
      <c r="T105" s="556">
        <v>374.0</v>
      </c>
      <c r="U105" s="556">
        <v>203.0</v>
      </c>
      <c r="V105" s="555"/>
      <c r="W105" s="555"/>
      <c r="X105" s="555"/>
      <c r="Y105" s="555"/>
      <c r="Z105" s="555"/>
      <c r="AA105" s="555"/>
    </row>
    <row r="106">
      <c r="B106" s="353" t="s">
        <v>2422</v>
      </c>
      <c r="C106" s="554" t="s">
        <v>3952</v>
      </c>
      <c r="D106" s="555"/>
      <c r="E106" s="555"/>
      <c r="F106" s="555"/>
      <c r="G106" s="556" t="s">
        <v>3728</v>
      </c>
      <c r="H106" s="555"/>
      <c r="I106" s="555"/>
      <c r="J106" s="557"/>
      <c r="K106" s="557"/>
      <c r="L106" s="557"/>
      <c r="M106" s="559">
        <v>42466.0</v>
      </c>
      <c r="N106" s="560">
        <v>42461.0</v>
      </c>
      <c r="O106" s="557">
        <f t="shared" si="2"/>
        <v>5</v>
      </c>
      <c r="P106" s="561" t="s">
        <v>3953</v>
      </c>
      <c r="Q106" s="555"/>
      <c r="R106" s="555"/>
      <c r="S106" s="555"/>
      <c r="T106" s="556">
        <v>271.0</v>
      </c>
      <c r="U106" s="556">
        <v>309.0</v>
      </c>
      <c r="V106" s="555"/>
      <c r="W106" s="555"/>
      <c r="X106" s="555"/>
      <c r="Y106" s="555"/>
      <c r="Z106" s="555"/>
      <c r="AA106" s="555"/>
    </row>
    <row r="107">
      <c r="B107" s="353" t="s">
        <v>2415</v>
      </c>
      <c r="C107" s="554" t="s">
        <v>3954</v>
      </c>
      <c r="D107" s="555"/>
      <c r="E107" s="555"/>
      <c r="F107" s="555"/>
      <c r="G107" s="556" t="s">
        <v>3728</v>
      </c>
      <c r="H107" s="555"/>
      <c r="I107" s="555"/>
      <c r="J107" s="557"/>
      <c r="K107" s="558"/>
      <c r="L107" s="557"/>
      <c r="M107" s="559">
        <v>42465.0</v>
      </c>
      <c r="N107" s="560">
        <v>42461.0</v>
      </c>
      <c r="O107" s="557">
        <f t="shared" si="2"/>
        <v>4</v>
      </c>
      <c r="P107" s="561" t="s">
        <v>3955</v>
      </c>
      <c r="Q107" s="555"/>
      <c r="R107" s="555"/>
      <c r="S107" s="555"/>
      <c r="T107" s="556">
        <v>318.0</v>
      </c>
      <c r="U107" s="556">
        <v>254.0</v>
      </c>
      <c r="V107" s="555"/>
      <c r="W107" s="555"/>
      <c r="X107" s="555"/>
      <c r="Y107" s="555"/>
      <c r="Z107" s="555"/>
      <c r="AA107" s="555"/>
    </row>
    <row r="108">
      <c r="B108" s="353" t="s">
        <v>2409</v>
      </c>
      <c r="C108" s="554" t="s">
        <v>91</v>
      </c>
      <c r="D108" s="555"/>
      <c r="E108" s="555"/>
      <c r="F108" s="555"/>
      <c r="G108" s="555"/>
      <c r="H108" s="556" t="s">
        <v>3917</v>
      </c>
      <c r="I108" s="555"/>
      <c r="J108" s="557"/>
      <c r="K108" s="557"/>
      <c r="L108" s="557"/>
      <c r="M108" s="559">
        <v>42465.0</v>
      </c>
      <c r="N108" s="560">
        <v>42461.0</v>
      </c>
      <c r="O108" s="557">
        <f t="shared" si="2"/>
        <v>4</v>
      </c>
      <c r="P108" s="561" t="s">
        <v>3956</v>
      </c>
      <c r="Q108" s="555"/>
      <c r="R108" s="555"/>
      <c r="S108" s="555"/>
      <c r="T108" s="556">
        <v>17.0</v>
      </c>
      <c r="U108" s="556">
        <v>27.0</v>
      </c>
      <c r="V108" s="555"/>
      <c r="W108" s="555"/>
      <c r="X108" s="555"/>
      <c r="Y108" s="555"/>
      <c r="Z108" s="555"/>
      <c r="AA108" s="555"/>
    </row>
    <row r="109">
      <c r="B109" s="353" t="s">
        <v>2403</v>
      </c>
      <c r="C109" s="554" t="s">
        <v>3795</v>
      </c>
      <c r="D109" s="555"/>
      <c r="E109" s="555"/>
      <c r="F109" s="555"/>
      <c r="G109" s="555"/>
      <c r="H109" s="555"/>
      <c r="I109" s="555"/>
      <c r="J109" s="557"/>
      <c r="K109" s="558" t="s">
        <v>3957</v>
      </c>
      <c r="L109" s="557"/>
      <c r="M109" s="559">
        <v>42465.0</v>
      </c>
      <c r="N109" s="560">
        <v>42461.0</v>
      </c>
      <c r="O109" s="557">
        <f t="shared" si="2"/>
        <v>4</v>
      </c>
      <c r="P109" s="561" t="s">
        <v>3958</v>
      </c>
      <c r="Q109" s="555"/>
      <c r="R109" s="555"/>
      <c r="S109" s="555"/>
      <c r="T109" s="556">
        <v>144.0</v>
      </c>
      <c r="U109" s="556">
        <v>123.0</v>
      </c>
      <c r="V109" s="555"/>
      <c r="W109" s="555"/>
      <c r="X109" s="555"/>
      <c r="Y109" s="555"/>
      <c r="Z109" s="555"/>
      <c r="AA109" s="555"/>
    </row>
    <row r="110">
      <c r="A110" s="562" t="s">
        <v>2345</v>
      </c>
      <c r="B110" s="341" t="s">
        <v>2396</v>
      </c>
      <c r="C110" s="563" t="s">
        <v>3762</v>
      </c>
      <c r="D110" s="564"/>
      <c r="E110" s="564"/>
      <c r="F110" s="564"/>
      <c r="G110" s="564"/>
      <c r="H110" s="438" t="s">
        <v>3917</v>
      </c>
      <c r="I110" s="564"/>
      <c r="J110" s="565"/>
      <c r="K110" s="565"/>
      <c r="L110" s="565"/>
      <c r="M110" s="566">
        <v>42498.0</v>
      </c>
      <c r="N110" s="567">
        <v>42485.0</v>
      </c>
      <c r="O110" s="565">
        <f t="shared" si="2"/>
        <v>13</v>
      </c>
      <c r="P110" s="568" t="s">
        <v>3959</v>
      </c>
      <c r="Q110" s="564"/>
      <c r="R110" s="564"/>
      <c r="S110" s="564"/>
      <c r="T110" s="438">
        <v>676.0</v>
      </c>
      <c r="U110" s="438">
        <v>52.0</v>
      </c>
      <c r="V110" s="564"/>
      <c r="W110" s="564"/>
      <c r="X110" s="564"/>
      <c r="Y110" s="564"/>
      <c r="Z110" s="564"/>
      <c r="AA110" s="564"/>
    </row>
    <row r="111">
      <c r="B111" s="341" t="s">
        <v>2390</v>
      </c>
      <c r="C111" s="563" t="s">
        <v>3881</v>
      </c>
      <c r="D111" s="564"/>
      <c r="E111" s="564"/>
      <c r="F111" s="564"/>
      <c r="G111" s="564"/>
      <c r="H111" s="564"/>
      <c r="I111" s="564"/>
      <c r="J111" s="565"/>
      <c r="K111" s="569" t="s">
        <v>3960</v>
      </c>
      <c r="L111" s="565"/>
      <c r="M111" s="566">
        <v>42497.0</v>
      </c>
      <c r="N111" s="567">
        <v>42485.0</v>
      </c>
      <c r="O111" s="565">
        <f t="shared" si="2"/>
        <v>12</v>
      </c>
      <c r="P111" s="568" t="s">
        <v>3961</v>
      </c>
      <c r="Q111" s="564"/>
      <c r="R111" s="564"/>
      <c r="S111" s="564"/>
      <c r="T111" s="438">
        <v>1183.0</v>
      </c>
      <c r="U111" s="438">
        <v>87.0</v>
      </c>
      <c r="V111" s="564"/>
      <c r="W111" s="564"/>
      <c r="X111" s="564"/>
      <c r="Y111" s="564"/>
      <c r="Z111" s="564"/>
      <c r="AA111" s="564"/>
    </row>
    <row r="112">
      <c r="B112" s="341" t="s">
        <v>2382</v>
      </c>
      <c r="C112" s="563" t="s">
        <v>3962</v>
      </c>
      <c r="D112" s="564"/>
      <c r="E112" s="564"/>
      <c r="F112" s="564"/>
      <c r="G112" s="438" t="s">
        <v>3728</v>
      </c>
      <c r="H112" s="564"/>
      <c r="I112" s="564"/>
      <c r="J112" s="565"/>
      <c r="K112" s="565"/>
      <c r="L112" s="565"/>
      <c r="M112" s="566">
        <v>42492.0</v>
      </c>
      <c r="N112" s="567">
        <v>42485.0</v>
      </c>
      <c r="O112" s="565">
        <f t="shared" si="2"/>
        <v>7</v>
      </c>
      <c r="P112" s="568" t="s">
        <v>3963</v>
      </c>
      <c r="Q112" s="564"/>
      <c r="R112" s="564"/>
      <c r="S112" s="564"/>
      <c r="T112" s="438">
        <v>338.0</v>
      </c>
      <c r="U112" s="438">
        <v>2.0</v>
      </c>
      <c r="V112" s="564"/>
      <c r="W112" s="564"/>
      <c r="X112" s="564"/>
      <c r="Y112" s="564"/>
      <c r="Z112" s="564"/>
      <c r="AA112" s="564"/>
    </row>
    <row r="113">
      <c r="B113" s="341" t="s">
        <v>2376</v>
      </c>
      <c r="C113" s="563" t="s">
        <v>3964</v>
      </c>
      <c r="D113" s="564"/>
      <c r="E113" s="564"/>
      <c r="F113" s="438" t="s">
        <v>3728</v>
      </c>
      <c r="G113" s="564"/>
      <c r="H113" s="564"/>
      <c r="I113" s="564"/>
      <c r="J113" s="565"/>
      <c r="K113" s="565"/>
      <c r="L113" s="565"/>
      <c r="M113" s="566">
        <v>42497.0</v>
      </c>
      <c r="N113" s="567">
        <v>42485.0</v>
      </c>
      <c r="O113" s="565">
        <f t="shared" si="2"/>
        <v>12</v>
      </c>
      <c r="P113" s="568" t="s">
        <v>3965</v>
      </c>
      <c r="Q113" s="564"/>
      <c r="R113" s="564"/>
      <c r="S113" s="564"/>
      <c r="T113" s="438">
        <v>317.0</v>
      </c>
      <c r="U113" s="438">
        <v>150.0</v>
      </c>
      <c r="V113" s="564"/>
      <c r="W113" s="564"/>
      <c r="X113" s="564"/>
      <c r="Y113" s="564"/>
      <c r="Z113" s="564"/>
      <c r="AA113" s="564"/>
    </row>
    <row r="114">
      <c r="B114" s="341" t="s">
        <v>2370</v>
      </c>
      <c r="C114" s="563" t="s">
        <v>3966</v>
      </c>
      <c r="D114" s="564"/>
      <c r="E114" s="564"/>
      <c r="F114" s="564"/>
      <c r="G114" s="564"/>
      <c r="H114" s="564"/>
      <c r="I114" s="570" t="s">
        <v>3728</v>
      </c>
      <c r="J114" s="569" t="s">
        <v>3728</v>
      </c>
      <c r="K114" s="565"/>
      <c r="L114" s="565"/>
      <c r="M114" s="566">
        <v>42636.0</v>
      </c>
      <c r="N114" s="567">
        <v>42485.0</v>
      </c>
      <c r="O114" s="565">
        <f t="shared" si="2"/>
        <v>151</v>
      </c>
      <c r="P114" s="568" t="s">
        <v>3967</v>
      </c>
      <c r="Q114" s="564"/>
      <c r="R114" s="564"/>
      <c r="S114" s="564"/>
      <c r="T114" s="438">
        <v>282098.0</v>
      </c>
      <c r="U114" s="438">
        <v>20771.0</v>
      </c>
      <c r="V114" s="564"/>
      <c r="W114" s="564"/>
      <c r="X114" s="564"/>
      <c r="Y114" s="564"/>
      <c r="Z114" s="564"/>
      <c r="AA114" s="564"/>
    </row>
    <row r="115">
      <c r="B115" s="341" t="s">
        <v>2363</v>
      </c>
      <c r="C115" s="563" t="s">
        <v>3968</v>
      </c>
      <c r="D115" s="564"/>
      <c r="E115" s="564"/>
      <c r="F115" s="564"/>
      <c r="G115" s="438" t="s">
        <v>3728</v>
      </c>
      <c r="H115" s="564"/>
      <c r="I115" s="564"/>
      <c r="J115" s="565"/>
      <c r="K115" s="565"/>
      <c r="L115" s="565"/>
      <c r="M115" s="566">
        <v>42494.0</v>
      </c>
      <c r="N115" s="567">
        <v>42485.0</v>
      </c>
      <c r="O115" s="565">
        <f t="shared" si="2"/>
        <v>9</v>
      </c>
      <c r="P115" s="568" t="s">
        <v>3969</v>
      </c>
      <c r="Q115" s="564"/>
      <c r="R115" s="564"/>
      <c r="S115" s="564"/>
      <c r="T115" s="438">
        <v>333.0</v>
      </c>
      <c r="U115" s="438">
        <v>177.0</v>
      </c>
      <c r="V115" s="564"/>
      <c r="W115" s="564"/>
      <c r="X115" s="564"/>
      <c r="Y115" s="564"/>
      <c r="Z115" s="564"/>
      <c r="AA115" s="564"/>
    </row>
    <row r="116">
      <c r="B116" s="341" t="s">
        <v>2357</v>
      </c>
      <c r="C116" s="563" t="s">
        <v>3970</v>
      </c>
      <c r="D116" s="564"/>
      <c r="E116" s="564"/>
      <c r="F116" s="564"/>
      <c r="G116" s="438" t="s">
        <v>3728</v>
      </c>
      <c r="H116" s="564"/>
      <c r="I116" s="564"/>
      <c r="J116" s="565"/>
      <c r="K116" s="565"/>
      <c r="L116" s="565"/>
      <c r="M116" s="566">
        <v>42492.0</v>
      </c>
      <c r="N116" s="567">
        <v>42485.0</v>
      </c>
      <c r="O116" s="565">
        <f t="shared" si="2"/>
        <v>7</v>
      </c>
      <c r="P116" s="568" t="s">
        <v>3971</v>
      </c>
      <c r="Q116" s="564"/>
      <c r="R116" s="564"/>
      <c r="S116" s="564"/>
      <c r="T116" s="438">
        <v>260.0</v>
      </c>
      <c r="U116" s="438">
        <v>68.0</v>
      </c>
      <c r="V116" s="564"/>
      <c r="W116" s="564"/>
      <c r="X116" s="564"/>
      <c r="Y116" s="564"/>
      <c r="Z116" s="564"/>
      <c r="AA116" s="564"/>
    </row>
    <row r="117">
      <c r="B117" s="341" t="s">
        <v>2340</v>
      </c>
      <c r="C117" s="563" t="s">
        <v>642</v>
      </c>
      <c r="D117" s="564"/>
      <c r="E117" s="564"/>
      <c r="F117" s="564"/>
      <c r="G117" s="564"/>
      <c r="H117" s="438" t="s">
        <v>3940</v>
      </c>
      <c r="I117" s="564"/>
      <c r="J117" s="565"/>
      <c r="K117" s="565"/>
      <c r="L117" s="565"/>
      <c r="M117" s="566">
        <v>42498.0</v>
      </c>
      <c r="N117" s="567">
        <v>42485.0</v>
      </c>
      <c r="O117" s="565">
        <f t="shared" si="2"/>
        <v>13</v>
      </c>
      <c r="P117" s="568" t="s">
        <v>3972</v>
      </c>
      <c r="Q117" s="564"/>
      <c r="R117" s="564"/>
      <c r="S117" s="564"/>
      <c r="T117" s="438">
        <v>33.0</v>
      </c>
      <c r="U117" s="438">
        <v>36.0</v>
      </c>
      <c r="V117" s="564"/>
      <c r="W117" s="564"/>
      <c r="X117" s="564"/>
      <c r="Y117" s="564"/>
      <c r="Z117" s="564"/>
      <c r="AA117" s="564"/>
    </row>
    <row r="118">
      <c r="B118" s="341" t="s">
        <v>2335</v>
      </c>
      <c r="C118" s="563" t="s">
        <v>3973</v>
      </c>
      <c r="D118" s="564"/>
      <c r="E118" s="564"/>
      <c r="F118" s="564"/>
      <c r="G118" s="564"/>
      <c r="H118" s="438" t="s">
        <v>3917</v>
      </c>
      <c r="I118" s="564"/>
      <c r="J118" s="565"/>
      <c r="K118" s="565"/>
      <c r="L118" s="565"/>
      <c r="M118" s="566">
        <v>42498.0</v>
      </c>
      <c r="N118" s="567">
        <v>42485.0</v>
      </c>
      <c r="O118" s="565">
        <f t="shared" si="2"/>
        <v>13</v>
      </c>
      <c r="P118" s="568" t="s">
        <v>3974</v>
      </c>
      <c r="Q118" s="564"/>
      <c r="R118" s="564"/>
      <c r="S118" s="564"/>
      <c r="T118" s="438">
        <v>174.0</v>
      </c>
      <c r="U118" s="438">
        <v>133.0</v>
      </c>
      <c r="V118" s="564"/>
      <c r="W118" s="564"/>
      <c r="X118" s="564"/>
      <c r="Y118" s="564"/>
      <c r="Z118" s="564"/>
      <c r="AA118" s="564"/>
    </row>
    <row r="119">
      <c r="A119" s="571" t="s">
        <v>2590</v>
      </c>
      <c r="B119" s="371" t="s">
        <v>2728</v>
      </c>
      <c r="C119" s="572" t="s">
        <v>3975</v>
      </c>
      <c r="D119" s="573"/>
      <c r="E119" s="573"/>
      <c r="F119" s="573"/>
      <c r="G119" s="573"/>
      <c r="H119" s="574" t="s">
        <v>3924</v>
      </c>
      <c r="I119" s="573"/>
      <c r="J119" s="575"/>
      <c r="K119" s="575"/>
      <c r="L119" s="575"/>
      <c r="M119" s="576">
        <v>42336.0</v>
      </c>
      <c r="N119" s="577">
        <v>42314.0</v>
      </c>
      <c r="O119" s="575">
        <f t="shared" si="2"/>
        <v>22</v>
      </c>
      <c r="P119" s="578" t="s">
        <v>3976</v>
      </c>
      <c r="Q119" s="573"/>
      <c r="R119" s="573"/>
      <c r="S119" s="573"/>
      <c r="T119" s="574">
        <v>120.0</v>
      </c>
      <c r="U119" s="574">
        <v>117.0</v>
      </c>
      <c r="V119" s="573"/>
      <c r="W119" s="573"/>
      <c r="X119" s="573"/>
      <c r="Y119" s="573"/>
      <c r="Z119" s="573"/>
      <c r="AA119" s="573"/>
    </row>
    <row r="120">
      <c r="B120" s="371" t="s">
        <v>2722</v>
      </c>
      <c r="C120" s="572" t="s">
        <v>3977</v>
      </c>
      <c r="D120" s="573"/>
      <c r="E120" s="573"/>
      <c r="F120" s="573"/>
      <c r="G120" s="574" t="s">
        <v>3728</v>
      </c>
      <c r="H120" s="573"/>
      <c r="I120" s="573"/>
      <c r="J120" s="575"/>
      <c r="K120" s="575"/>
      <c r="L120" s="575"/>
      <c r="M120" s="576">
        <v>42334.0</v>
      </c>
      <c r="N120" s="577">
        <v>42314.0</v>
      </c>
      <c r="O120" s="575">
        <f t="shared" si="2"/>
        <v>20</v>
      </c>
      <c r="P120" s="578" t="s">
        <v>3978</v>
      </c>
      <c r="Q120" s="573"/>
      <c r="R120" s="573"/>
      <c r="S120" s="573"/>
      <c r="T120" s="574">
        <v>259.0</v>
      </c>
      <c r="U120" s="574">
        <v>178.0</v>
      </c>
      <c r="V120" s="573"/>
      <c r="W120" s="573"/>
      <c r="X120" s="573"/>
      <c r="Y120" s="573"/>
      <c r="Z120" s="573"/>
      <c r="AA120" s="573"/>
    </row>
    <row r="121">
      <c r="B121" s="371" t="s">
        <v>2716</v>
      </c>
      <c r="C121" s="572" t="s">
        <v>3979</v>
      </c>
      <c r="D121" s="573"/>
      <c r="E121" s="573"/>
      <c r="F121" s="573"/>
      <c r="G121" s="574" t="s">
        <v>3728</v>
      </c>
      <c r="H121" s="573"/>
      <c r="I121" s="579" t="s">
        <v>3728</v>
      </c>
      <c r="J121" s="575"/>
      <c r="K121" s="575"/>
      <c r="L121" s="575"/>
      <c r="M121" s="576">
        <v>42337.0</v>
      </c>
      <c r="N121" s="577">
        <v>42314.0</v>
      </c>
      <c r="O121" s="575">
        <f t="shared" si="2"/>
        <v>23</v>
      </c>
      <c r="P121" s="578" t="s">
        <v>3980</v>
      </c>
      <c r="Q121" s="573"/>
      <c r="R121" s="573"/>
      <c r="S121" s="573"/>
      <c r="T121" s="574">
        <v>1.0</v>
      </c>
      <c r="U121" s="574">
        <v>247.0</v>
      </c>
      <c r="V121" s="573"/>
      <c r="W121" s="573"/>
      <c r="X121" s="573"/>
      <c r="Y121" s="573"/>
      <c r="Z121" s="573"/>
      <c r="AA121" s="573"/>
    </row>
    <row r="122">
      <c r="B122" s="371" t="s">
        <v>2710</v>
      </c>
      <c r="C122" s="572" t="s">
        <v>3981</v>
      </c>
      <c r="D122" s="573"/>
      <c r="E122" s="573"/>
      <c r="F122" s="573"/>
      <c r="G122" s="573"/>
      <c r="H122" s="573"/>
      <c r="I122" s="573"/>
      <c r="J122" s="575"/>
      <c r="K122" s="580" t="s">
        <v>3982</v>
      </c>
      <c r="L122" s="575"/>
      <c r="M122" s="576">
        <v>42337.0</v>
      </c>
      <c r="N122" s="577">
        <v>42314.0</v>
      </c>
      <c r="O122" s="575">
        <f t="shared" si="2"/>
        <v>23</v>
      </c>
      <c r="P122" s="578" t="s">
        <v>3983</v>
      </c>
      <c r="Q122" s="573"/>
      <c r="R122" s="573"/>
      <c r="S122" s="573"/>
      <c r="T122" s="574">
        <v>335.0</v>
      </c>
      <c r="U122" s="574">
        <v>42.0</v>
      </c>
      <c r="V122" s="573"/>
      <c r="W122" s="573"/>
      <c r="X122" s="573"/>
      <c r="Y122" s="573"/>
      <c r="Z122" s="573"/>
      <c r="AA122" s="573"/>
    </row>
    <row r="123">
      <c r="B123" s="371" t="s">
        <v>2704</v>
      </c>
      <c r="C123" s="572" t="s">
        <v>3984</v>
      </c>
      <c r="D123" s="573"/>
      <c r="E123" s="573"/>
      <c r="F123" s="573"/>
      <c r="G123" s="573"/>
      <c r="H123" s="573"/>
      <c r="I123" s="573"/>
      <c r="J123" s="575"/>
      <c r="K123" s="580" t="s">
        <v>3985</v>
      </c>
      <c r="L123" s="575"/>
      <c r="M123" s="576">
        <v>42327.0</v>
      </c>
      <c r="N123" s="577">
        <v>42314.0</v>
      </c>
      <c r="O123" s="575">
        <f t="shared" si="2"/>
        <v>13</v>
      </c>
      <c r="P123" s="578" t="s">
        <v>3986</v>
      </c>
      <c r="Q123" s="573"/>
      <c r="R123" s="573"/>
      <c r="S123" s="573"/>
      <c r="T123" s="574">
        <v>491.0</v>
      </c>
      <c r="U123" s="574">
        <v>28.0</v>
      </c>
      <c r="V123" s="573"/>
      <c r="W123" s="573"/>
      <c r="X123" s="573"/>
      <c r="Y123" s="573"/>
      <c r="Z123" s="573"/>
      <c r="AA123" s="573"/>
    </row>
    <row r="124">
      <c r="B124" s="371" t="s">
        <v>2698</v>
      </c>
      <c r="C124" s="572" t="s">
        <v>3987</v>
      </c>
      <c r="D124" s="573"/>
      <c r="E124" s="573"/>
      <c r="F124" s="573"/>
      <c r="G124" s="574" t="s">
        <v>3728</v>
      </c>
      <c r="H124" s="573"/>
      <c r="I124" s="573"/>
      <c r="J124" s="575"/>
      <c r="K124" s="575"/>
      <c r="L124" s="575"/>
      <c r="M124" s="576">
        <v>42333.0</v>
      </c>
      <c r="N124" s="577">
        <v>42314.0</v>
      </c>
      <c r="O124" s="575">
        <f t="shared" si="2"/>
        <v>19</v>
      </c>
      <c r="P124" s="578" t="s">
        <v>3988</v>
      </c>
      <c r="Q124" s="573"/>
      <c r="R124" s="573"/>
      <c r="S124" s="573"/>
      <c r="T124" s="574">
        <v>838.0</v>
      </c>
      <c r="U124" s="574">
        <v>149.0</v>
      </c>
      <c r="V124" s="573"/>
      <c r="W124" s="573"/>
      <c r="X124" s="573"/>
      <c r="Y124" s="573"/>
      <c r="Z124" s="573"/>
      <c r="AA124" s="573"/>
    </row>
    <row r="125">
      <c r="B125" s="371" t="s">
        <v>2692</v>
      </c>
      <c r="C125" s="572" t="s">
        <v>3989</v>
      </c>
      <c r="D125" s="573"/>
      <c r="E125" s="573"/>
      <c r="F125" s="573"/>
      <c r="G125" s="573"/>
      <c r="H125" s="573"/>
      <c r="I125" s="573"/>
      <c r="J125" s="575"/>
      <c r="K125" s="580" t="s">
        <v>3985</v>
      </c>
      <c r="L125" s="575"/>
      <c r="M125" s="576">
        <v>42338.0</v>
      </c>
      <c r="N125" s="577">
        <v>42314.0</v>
      </c>
      <c r="O125" s="575">
        <f t="shared" si="2"/>
        <v>24</v>
      </c>
      <c r="P125" s="578" t="s">
        <v>3990</v>
      </c>
      <c r="Q125" s="573"/>
      <c r="R125" s="573"/>
      <c r="S125" s="573"/>
      <c r="T125" s="574">
        <v>423.0</v>
      </c>
      <c r="U125" s="574">
        <v>138.0</v>
      </c>
      <c r="V125" s="573"/>
      <c r="W125" s="573"/>
      <c r="X125" s="573"/>
      <c r="Y125" s="573"/>
      <c r="Z125" s="573"/>
      <c r="AA125" s="573"/>
    </row>
    <row r="126">
      <c r="B126" s="371" t="s">
        <v>2686</v>
      </c>
      <c r="C126" s="572" t="s">
        <v>3991</v>
      </c>
      <c r="D126" s="573"/>
      <c r="E126" s="573"/>
      <c r="F126" s="573"/>
      <c r="G126" s="574" t="s">
        <v>3728</v>
      </c>
      <c r="H126" s="573"/>
      <c r="I126" s="573"/>
      <c r="J126" s="575"/>
      <c r="K126" s="580"/>
      <c r="L126" s="575"/>
      <c r="M126" s="576">
        <v>42338.0</v>
      </c>
      <c r="N126" s="577">
        <v>42314.0</v>
      </c>
      <c r="O126" s="575">
        <f t="shared" si="2"/>
        <v>24</v>
      </c>
      <c r="P126" s="578" t="s">
        <v>3992</v>
      </c>
      <c r="Q126" s="573"/>
      <c r="R126" s="573"/>
      <c r="S126" s="573"/>
      <c r="T126" s="574">
        <v>418.0</v>
      </c>
      <c r="U126" s="574">
        <v>134.0</v>
      </c>
      <c r="V126" s="573"/>
      <c r="W126" s="573"/>
      <c r="X126" s="573"/>
      <c r="Y126" s="573"/>
      <c r="Z126" s="573"/>
      <c r="AA126" s="573"/>
    </row>
    <row r="127">
      <c r="B127" s="371" t="s">
        <v>2680</v>
      </c>
      <c r="C127" s="572" t="s">
        <v>3993</v>
      </c>
      <c r="D127" s="573"/>
      <c r="E127" s="573"/>
      <c r="F127" s="573"/>
      <c r="G127" s="573"/>
      <c r="H127" s="574" t="s">
        <v>3917</v>
      </c>
      <c r="I127" s="573"/>
      <c r="J127" s="575"/>
      <c r="K127" s="575"/>
      <c r="L127" s="580" t="s">
        <v>3728</v>
      </c>
      <c r="M127" s="576">
        <v>42344.0</v>
      </c>
      <c r="N127" s="577">
        <v>42314.0</v>
      </c>
      <c r="O127" s="575">
        <f t="shared" si="2"/>
        <v>30</v>
      </c>
      <c r="P127" s="578" t="s">
        <v>3994</v>
      </c>
      <c r="Q127" s="573"/>
      <c r="R127" s="573"/>
      <c r="S127" s="573"/>
      <c r="T127" s="574">
        <v>571.0</v>
      </c>
      <c r="U127" s="574">
        <v>312.0</v>
      </c>
      <c r="V127" s="573"/>
      <c r="W127" s="573"/>
      <c r="X127" s="573"/>
      <c r="Y127" s="573"/>
      <c r="Z127" s="573"/>
      <c r="AA127" s="573"/>
    </row>
    <row r="128">
      <c r="B128" s="371" t="s">
        <v>2675</v>
      </c>
      <c r="C128" s="572" t="s">
        <v>3995</v>
      </c>
      <c r="D128" s="573"/>
      <c r="E128" s="573"/>
      <c r="F128" s="573"/>
      <c r="G128" s="573"/>
      <c r="H128" s="574" t="s">
        <v>3917</v>
      </c>
      <c r="I128" s="573"/>
      <c r="J128" s="575"/>
      <c r="K128" s="575"/>
      <c r="L128" s="575"/>
      <c r="M128" s="576">
        <v>42345.0</v>
      </c>
      <c r="N128" s="577">
        <v>42314.0</v>
      </c>
      <c r="O128" s="575">
        <f t="shared" si="2"/>
        <v>31</v>
      </c>
      <c r="P128" s="578" t="s">
        <v>3996</v>
      </c>
      <c r="Q128" s="573"/>
      <c r="R128" s="573"/>
      <c r="S128" s="573"/>
      <c r="T128" s="574">
        <v>183.0</v>
      </c>
      <c r="U128" s="574">
        <v>169.0</v>
      </c>
      <c r="V128" s="573"/>
      <c r="W128" s="573"/>
      <c r="X128" s="573"/>
      <c r="Y128" s="573"/>
      <c r="Z128" s="573"/>
      <c r="AA128" s="573"/>
    </row>
    <row r="129">
      <c r="B129" s="371" t="s">
        <v>2669</v>
      </c>
      <c r="C129" s="572" t="s">
        <v>3997</v>
      </c>
      <c r="D129" s="573"/>
      <c r="E129" s="573"/>
      <c r="F129" s="573"/>
      <c r="G129" s="573"/>
      <c r="H129" s="574" t="s">
        <v>3917</v>
      </c>
      <c r="I129" s="573"/>
      <c r="J129" s="575"/>
      <c r="K129" s="575"/>
      <c r="L129" s="575"/>
      <c r="M129" s="576">
        <v>42344.0</v>
      </c>
      <c r="N129" s="577">
        <v>42314.0</v>
      </c>
      <c r="O129" s="575">
        <f t="shared" si="2"/>
        <v>30</v>
      </c>
      <c r="P129" s="578" t="s">
        <v>3998</v>
      </c>
      <c r="Q129" s="573"/>
      <c r="R129" s="573"/>
      <c r="S129" s="573"/>
      <c r="T129" s="574">
        <v>106.0</v>
      </c>
      <c r="U129" s="574">
        <v>118.0</v>
      </c>
      <c r="V129" s="573"/>
      <c r="W129" s="573"/>
      <c r="X129" s="573"/>
      <c r="Y129" s="573"/>
      <c r="Z129" s="573"/>
      <c r="AA129" s="573"/>
    </row>
    <row r="130">
      <c r="B130" s="371" t="s">
        <v>2663</v>
      </c>
      <c r="C130" s="572" t="s">
        <v>3999</v>
      </c>
      <c r="D130" s="573"/>
      <c r="E130" s="573"/>
      <c r="F130" s="573"/>
      <c r="G130" s="573"/>
      <c r="H130" s="574" t="s">
        <v>3917</v>
      </c>
      <c r="I130" s="573"/>
      <c r="J130" s="575"/>
      <c r="K130" s="575"/>
      <c r="L130" s="575"/>
      <c r="M130" s="576">
        <v>42338.0</v>
      </c>
      <c r="N130" s="577">
        <v>42314.0</v>
      </c>
      <c r="O130" s="575">
        <f t="shared" si="2"/>
        <v>24</v>
      </c>
      <c r="P130" s="578" t="s">
        <v>4000</v>
      </c>
      <c r="Q130" s="573"/>
      <c r="R130" s="573"/>
      <c r="S130" s="573"/>
      <c r="T130" s="574">
        <v>79.0</v>
      </c>
      <c r="U130" s="574">
        <v>71.0</v>
      </c>
      <c r="V130" s="573"/>
      <c r="W130" s="573"/>
      <c r="X130" s="573"/>
      <c r="Y130" s="573"/>
      <c r="Z130" s="573"/>
      <c r="AA130" s="573"/>
    </row>
    <row r="131">
      <c r="B131" s="371" t="s">
        <v>2657</v>
      </c>
      <c r="C131" s="572" t="s">
        <v>4001</v>
      </c>
      <c r="D131" s="573"/>
      <c r="E131" s="573"/>
      <c r="F131" s="573"/>
      <c r="G131" s="573"/>
      <c r="H131" s="574" t="s">
        <v>3924</v>
      </c>
      <c r="I131" s="573"/>
      <c r="J131" s="575"/>
      <c r="K131" s="575"/>
      <c r="L131" s="575"/>
      <c r="M131" s="576">
        <v>42341.0</v>
      </c>
      <c r="N131" s="577">
        <v>42314.0</v>
      </c>
      <c r="O131" s="575">
        <f t="shared" si="2"/>
        <v>27</v>
      </c>
      <c r="P131" s="578" t="s">
        <v>4002</v>
      </c>
      <c r="Q131" s="573"/>
      <c r="R131" s="573"/>
      <c r="S131" s="573"/>
      <c r="T131" s="574">
        <v>104.0</v>
      </c>
      <c r="U131" s="574">
        <v>212.0</v>
      </c>
      <c r="V131" s="573"/>
      <c r="W131" s="573"/>
      <c r="X131" s="573"/>
      <c r="Y131" s="573"/>
      <c r="Z131" s="573"/>
      <c r="AA131" s="573"/>
    </row>
    <row r="132">
      <c r="B132" s="371" t="s">
        <v>2651</v>
      </c>
      <c r="C132" s="572" t="s">
        <v>4003</v>
      </c>
      <c r="D132" s="573"/>
      <c r="E132" s="573"/>
      <c r="F132" s="573"/>
      <c r="G132" s="573"/>
      <c r="H132" s="574" t="s">
        <v>3924</v>
      </c>
      <c r="I132" s="573"/>
      <c r="J132" s="575"/>
      <c r="K132" s="575"/>
      <c r="L132" s="575"/>
      <c r="M132" s="576">
        <v>42341.0</v>
      </c>
      <c r="N132" s="577">
        <v>42314.0</v>
      </c>
      <c r="O132" s="575">
        <f t="shared" si="2"/>
        <v>27</v>
      </c>
      <c r="P132" s="578" t="s">
        <v>4004</v>
      </c>
      <c r="Q132" s="573"/>
      <c r="R132" s="573"/>
      <c r="S132" s="573"/>
      <c r="T132" s="574">
        <v>350.0</v>
      </c>
      <c r="U132" s="574">
        <v>313.0</v>
      </c>
      <c r="V132" s="573"/>
      <c r="W132" s="573"/>
      <c r="X132" s="573"/>
      <c r="Y132" s="573"/>
      <c r="Z132" s="573"/>
      <c r="AA132" s="573"/>
    </row>
    <row r="133">
      <c r="B133" s="371" t="s">
        <v>2643</v>
      </c>
      <c r="C133" s="572" t="s">
        <v>4005</v>
      </c>
      <c r="D133" s="573"/>
      <c r="E133" s="573"/>
      <c r="F133" s="573"/>
      <c r="G133" s="574" t="s">
        <v>3728</v>
      </c>
      <c r="H133" s="573"/>
      <c r="I133" s="573"/>
      <c r="J133" s="575"/>
      <c r="K133" s="575"/>
      <c r="L133" s="575"/>
      <c r="M133" s="576">
        <v>42332.0</v>
      </c>
      <c r="N133" s="577">
        <v>42314.0</v>
      </c>
      <c r="O133" s="575">
        <f t="shared" si="2"/>
        <v>18</v>
      </c>
      <c r="P133" s="578" t="s">
        <v>4006</v>
      </c>
      <c r="Q133" s="573"/>
      <c r="R133" s="573"/>
      <c r="S133" s="573"/>
      <c r="T133" s="574">
        <v>133.0</v>
      </c>
      <c r="U133" s="574">
        <v>37.0</v>
      </c>
      <c r="V133" s="573"/>
      <c r="W133" s="573"/>
      <c r="X133" s="573"/>
      <c r="Y133" s="573"/>
      <c r="Z133" s="573"/>
      <c r="AA133" s="573"/>
    </row>
    <row r="134">
      <c r="B134" s="371" t="s">
        <v>2637</v>
      </c>
      <c r="C134" s="572" t="s">
        <v>4007</v>
      </c>
      <c r="D134" s="573"/>
      <c r="E134" s="573"/>
      <c r="F134" s="573"/>
      <c r="G134" s="574" t="s">
        <v>3728</v>
      </c>
      <c r="H134" s="573"/>
      <c r="I134" s="573"/>
      <c r="J134" s="575"/>
      <c r="K134" s="575"/>
      <c r="L134" s="575"/>
      <c r="M134" s="576">
        <v>42344.0</v>
      </c>
      <c r="N134" s="577">
        <v>42314.0</v>
      </c>
      <c r="O134" s="575">
        <f t="shared" si="2"/>
        <v>30</v>
      </c>
      <c r="P134" s="578" t="s">
        <v>4008</v>
      </c>
      <c r="Q134" s="573"/>
      <c r="R134" s="573"/>
      <c r="S134" s="573"/>
      <c r="T134" s="574">
        <v>238.0</v>
      </c>
      <c r="U134" s="574">
        <v>109.0</v>
      </c>
      <c r="V134" s="573"/>
      <c r="W134" s="573"/>
      <c r="X134" s="573"/>
      <c r="Y134" s="573"/>
      <c r="Z134" s="573"/>
      <c r="AA134" s="573"/>
    </row>
    <row r="135">
      <c r="B135" s="371" t="s">
        <v>2631</v>
      </c>
      <c r="C135" s="572" t="s">
        <v>4009</v>
      </c>
      <c r="D135" s="573"/>
      <c r="E135" s="573"/>
      <c r="F135" s="573"/>
      <c r="G135" s="573"/>
      <c r="H135" s="574" t="s">
        <v>3917</v>
      </c>
      <c r="I135" s="573"/>
      <c r="J135" s="575"/>
      <c r="K135" s="575"/>
      <c r="L135" s="575"/>
      <c r="M135" s="576">
        <v>42344.0</v>
      </c>
      <c r="N135" s="577">
        <v>42314.0</v>
      </c>
      <c r="O135" s="575">
        <f t="shared" si="2"/>
        <v>30</v>
      </c>
      <c r="P135" s="578" t="s">
        <v>4010</v>
      </c>
      <c r="Q135" s="573"/>
      <c r="R135" s="573"/>
      <c r="S135" s="573"/>
      <c r="T135" s="574">
        <v>329.0</v>
      </c>
      <c r="U135" s="574">
        <v>124.0</v>
      </c>
      <c r="V135" s="573"/>
      <c r="W135" s="573"/>
      <c r="X135" s="573"/>
      <c r="Y135" s="573"/>
      <c r="Z135" s="573"/>
      <c r="AA135" s="573"/>
    </row>
    <row r="136">
      <c r="B136" s="371" t="s">
        <v>2625</v>
      </c>
      <c r="C136" s="572" t="s">
        <v>4011</v>
      </c>
      <c r="D136" s="573"/>
      <c r="E136" s="573"/>
      <c r="F136" s="573"/>
      <c r="G136" s="573"/>
      <c r="H136" s="574" t="s">
        <v>3924</v>
      </c>
      <c r="I136" s="573"/>
      <c r="J136" s="575"/>
      <c r="K136" s="575"/>
      <c r="L136" s="575"/>
      <c r="M136" s="576">
        <v>42346.0</v>
      </c>
      <c r="N136" s="577">
        <v>42314.0</v>
      </c>
      <c r="O136" s="575">
        <f t="shared" si="2"/>
        <v>32</v>
      </c>
      <c r="P136" s="578" t="s">
        <v>4012</v>
      </c>
      <c r="Q136" s="573"/>
      <c r="R136" s="573"/>
      <c r="S136" s="573"/>
      <c r="T136" s="574">
        <v>393.0</v>
      </c>
      <c r="U136" s="574">
        <v>239.0</v>
      </c>
      <c r="V136" s="573"/>
      <c r="W136" s="573"/>
      <c r="X136" s="573"/>
      <c r="Y136" s="573"/>
      <c r="Z136" s="573"/>
      <c r="AA136" s="573"/>
    </row>
    <row r="137">
      <c r="B137" s="371" t="s">
        <v>2619</v>
      </c>
      <c r="C137" s="572" t="s">
        <v>4013</v>
      </c>
      <c r="D137" s="573"/>
      <c r="E137" s="573"/>
      <c r="F137" s="573"/>
      <c r="G137" s="573"/>
      <c r="H137" s="574" t="s">
        <v>3940</v>
      </c>
      <c r="I137" s="573"/>
      <c r="J137" s="575"/>
      <c r="K137" s="575"/>
      <c r="L137" s="575"/>
      <c r="M137" s="576">
        <v>42332.0</v>
      </c>
      <c r="N137" s="577">
        <v>42314.0</v>
      </c>
      <c r="O137" s="575">
        <f t="shared" si="2"/>
        <v>18</v>
      </c>
      <c r="P137" s="578" t="s">
        <v>4014</v>
      </c>
      <c r="Q137" s="573"/>
      <c r="R137" s="573"/>
      <c r="S137" s="573"/>
      <c r="T137" s="574">
        <v>142.0</v>
      </c>
      <c r="U137" s="574">
        <v>148.0</v>
      </c>
      <c r="V137" s="573"/>
      <c r="W137" s="573"/>
      <c r="X137" s="573"/>
      <c r="Y137" s="573"/>
      <c r="Z137" s="573"/>
      <c r="AA137" s="573"/>
    </row>
    <row r="138">
      <c r="B138" s="371" t="s">
        <v>2613</v>
      </c>
      <c r="C138" s="572" t="s">
        <v>4015</v>
      </c>
      <c r="D138" s="573"/>
      <c r="E138" s="573"/>
      <c r="F138" s="573"/>
      <c r="G138" s="573"/>
      <c r="H138" s="574" t="s">
        <v>3924</v>
      </c>
      <c r="I138" s="573"/>
      <c r="J138" s="575"/>
      <c r="K138" s="575"/>
      <c r="L138" s="575"/>
      <c r="M138" s="576">
        <v>42338.0</v>
      </c>
      <c r="N138" s="577">
        <v>42314.0</v>
      </c>
      <c r="O138" s="575">
        <f t="shared" si="2"/>
        <v>24</v>
      </c>
      <c r="P138" s="578" t="s">
        <v>4016</v>
      </c>
      <c r="Q138" s="573"/>
      <c r="R138" s="573"/>
      <c r="S138" s="573"/>
      <c r="T138" s="574">
        <v>222.0</v>
      </c>
      <c r="U138" s="574">
        <v>224.0</v>
      </c>
      <c r="V138" s="573"/>
      <c r="W138" s="573"/>
      <c r="X138" s="573"/>
      <c r="Y138" s="573"/>
      <c r="Z138" s="573"/>
      <c r="AA138" s="573"/>
    </row>
    <row r="139">
      <c r="B139" s="371" t="s">
        <v>2607</v>
      </c>
      <c r="C139" s="572" t="s">
        <v>4017</v>
      </c>
      <c r="D139" s="573"/>
      <c r="E139" s="573"/>
      <c r="F139" s="573"/>
      <c r="G139" s="573"/>
      <c r="H139" s="574" t="s">
        <v>3917</v>
      </c>
      <c r="I139" s="573"/>
      <c r="J139" s="575"/>
      <c r="K139" s="575"/>
      <c r="L139" s="575"/>
      <c r="M139" s="576">
        <v>42346.0</v>
      </c>
      <c r="N139" s="577">
        <v>42314.0</v>
      </c>
      <c r="O139" s="575">
        <f t="shared" si="2"/>
        <v>32</v>
      </c>
      <c r="P139" s="578" t="s">
        <v>4018</v>
      </c>
      <c r="Q139" s="573"/>
      <c r="R139" s="573"/>
      <c r="S139" s="573"/>
      <c r="T139" s="574">
        <v>203.0</v>
      </c>
      <c r="U139" s="574">
        <v>190.0</v>
      </c>
      <c r="V139" s="573"/>
      <c r="W139" s="573"/>
      <c r="X139" s="573"/>
      <c r="Y139" s="573"/>
      <c r="Z139" s="573"/>
      <c r="AA139" s="573"/>
    </row>
    <row r="140">
      <c r="B140" s="371" t="s">
        <v>2601</v>
      </c>
      <c r="C140" s="572" t="s">
        <v>4019</v>
      </c>
      <c r="D140" s="573"/>
      <c r="E140" s="573"/>
      <c r="F140" s="573"/>
      <c r="G140" s="573"/>
      <c r="H140" s="574" t="s">
        <v>3924</v>
      </c>
      <c r="I140" s="579" t="s">
        <v>3728</v>
      </c>
      <c r="J140" s="575"/>
      <c r="K140" s="575"/>
      <c r="L140" s="575"/>
      <c r="M140" s="576">
        <v>42338.0</v>
      </c>
      <c r="N140" s="577">
        <v>42314.0</v>
      </c>
      <c r="O140" s="575">
        <f t="shared" si="2"/>
        <v>24</v>
      </c>
      <c r="P140" s="578" t="s">
        <v>4020</v>
      </c>
      <c r="Q140" s="573"/>
      <c r="R140" s="573"/>
      <c r="S140" s="573"/>
      <c r="T140" s="574">
        <v>1073.0</v>
      </c>
      <c r="U140" s="574">
        <v>165.0</v>
      </c>
      <c r="V140" s="573"/>
      <c r="W140" s="573"/>
      <c r="X140" s="573"/>
      <c r="Y140" s="573"/>
      <c r="Z140" s="573"/>
      <c r="AA140" s="573"/>
    </row>
    <row r="141">
      <c r="B141" s="371" t="s">
        <v>2596</v>
      </c>
      <c r="C141" s="572" t="s">
        <v>4021</v>
      </c>
      <c r="D141" s="573"/>
      <c r="E141" s="573"/>
      <c r="F141" s="573"/>
      <c r="G141" s="573"/>
      <c r="H141" s="581" t="s">
        <v>4022</v>
      </c>
      <c r="K141" s="575"/>
      <c r="L141" s="575"/>
      <c r="M141" s="576">
        <v>42337.0</v>
      </c>
      <c r="N141" s="577">
        <v>42314.0</v>
      </c>
      <c r="O141" s="575">
        <f t="shared" si="2"/>
        <v>23</v>
      </c>
      <c r="P141" s="578" t="s">
        <v>4023</v>
      </c>
      <c r="Q141" s="573"/>
      <c r="R141" s="573"/>
      <c r="S141" s="573"/>
      <c r="T141" s="574">
        <v>189.0</v>
      </c>
      <c r="U141" s="574">
        <v>4.0</v>
      </c>
      <c r="V141" s="573"/>
      <c r="W141" s="573"/>
      <c r="X141" s="573"/>
      <c r="Y141" s="573"/>
      <c r="Z141" s="573"/>
      <c r="AA141" s="573"/>
    </row>
    <row r="142">
      <c r="B142" s="371" t="s">
        <v>2591</v>
      </c>
      <c r="C142" s="572" t="s">
        <v>3888</v>
      </c>
      <c r="D142" s="573"/>
      <c r="E142" s="573"/>
      <c r="F142" s="573"/>
      <c r="G142" s="573"/>
      <c r="H142" s="574" t="s">
        <v>3924</v>
      </c>
      <c r="I142" s="579" t="s">
        <v>3728</v>
      </c>
      <c r="J142" s="575"/>
      <c r="K142" s="575"/>
      <c r="L142" s="575"/>
      <c r="M142" s="576">
        <v>42346.0</v>
      </c>
      <c r="N142" s="577">
        <v>42314.0</v>
      </c>
      <c r="O142" s="575">
        <f t="shared" si="2"/>
        <v>32</v>
      </c>
      <c r="P142" s="578" t="s">
        <v>4024</v>
      </c>
      <c r="Q142" s="573"/>
      <c r="R142" s="573"/>
      <c r="S142" s="573"/>
      <c r="T142" s="574">
        <v>197.0</v>
      </c>
      <c r="U142" s="574">
        <v>36.0</v>
      </c>
      <c r="V142" s="573"/>
      <c r="W142" s="573"/>
      <c r="X142" s="573"/>
      <c r="Y142" s="573"/>
      <c r="Z142" s="573"/>
      <c r="AA142" s="573"/>
    </row>
    <row r="143">
      <c r="A143" s="582" t="s">
        <v>2481</v>
      </c>
      <c r="B143" s="366" t="s">
        <v>2577</v>
      </c>
      <c r="C143" s="583" t="s">
        <v>2578</v>
      </c>
      <c r="D143" s="546"/>
      <c r="E143" s="546"/>
      <c r="F143" s="546"/>
      <c r="G143" s="546"/>
      <c r="H143" s="545" t="s">
        <v>3917</v>
      </c>
      <c r="I143" s="546"/>
      <c r="J143" s="547"/>
      <c r="K143" s="548"/>
      <c r="L143" s="547"/>
      <c r="M143" s="549">
        <v>42367.0</v>
      </c>
      <c r="N143" s="584">
        <v>42340.0</v>
      </c>
      <c r="O143" s="547">
        <f t="shared" si="2"/>
        <v>27</v>
      </c>
      <c r="P143" s="551" t="s">
        <v>4025</v>
      </c>
      <c r="Q143" s="546"/>
      <c r="R143" s="546"/>
      <c r="S143" s="546"/>
      <c r="T143" s="545">
        <v>808.0</v>
      </c>
      <c r="U143" s="545">
        <v>101.0</v>
      </c>
      <c r="V143" s="546"/>
      <c r="W143" s="546"/>
      <c r="X143" s="546"/>
      <c r="Y143" s="546"/>
      <c r="Z143" s="546"/>
      <c r="AA143" s="546"/>
    </row>
    <row r="144">
      <c r="B144" s="366" t="s">
        <v>2571</v>
      </c>
      <c r="C144" s="583" t="s">
        <v>2572</v>
      </c>
      <c r="D144" s="546"/>
      <c r="E144" s="546"/>
      <c r="F144" s="546"/>
      <c r="G144" s="545" t="s">
        <v>3728</v>
      </c>
      <c r="H144" s="546"/>
      <c r="I144" s="546"/>
      <c r="J144" s="547"/>
      <c r="K144" s="547"/>
      <c r="L144" s="547"/>
      <c r="M144" s="549">
        <v>42368.0</v>
      </c>
      <c r="N144" s="584">
        <v>42340.0</v>
      </c>
      <c r="O144" s="547">
        <f t="shared" si="2"/>
        <v>28</v>
      </c>
      <c r="P144" s="551" t="s">
        <v>4026</v>
      </c>
      <c r="Q144" s="546"/>
      <c r="R144" s="546"/>
      <c r="S144" s="546"/>
      <c r="T144" s="545">
        <v>1157.0</v>
      </c>
      <c r="U144" s="545">
        <v>112.0</v>
      </c>
      <c r="V144" s="546"/>
      <c r="W144" s="546"/>
      <c r="X144" s="546"/>
      <c r="Y144" s="546"/>
      <c r="Z144" s="546"/>
      <c r="AA144" s="546"/>
    </row>
    <row r="145">
      <c r="B145" s="366" t="s">
        <v>2564</v>
      </c>
      <c r="C145" s="583" t="s">
        <v>2565</v>
      </c>
      <c r="D145" s="546"/>
      <c r="E145" s="546"/>
      <c r="F145" s="546"/>
      <c r="G145" s="546"/>
      <c r="H145" s="545" t="s">
        <v>3917</v>
      </c>
      <c r="I145" s="546"/>
      <c r="J145" s="547"/>
      <c r="K145" s="547"/>
      <c r="L145" s="547"/>
      <c r="M145" s="549">
        <v>42367.0</v>
      </c>
      <c r="N145" s="584">
        <v>42340.0</v>
      </c>
      <c r="O145" s="547">
        <f t="shared" si="2"/>
        <v>27</v>
      </c>
      <c r="P145" s="551" t="s">
        <v>4027</v>
      </c>
      <c r="Q145" s="546"/>
      <c r="R145" s="546"/>
      <c r="S145" s="546"/>
      <c r="T145" s="545">
        <v>554.0</v>
      </c>
      <c r="U145" s="545">
        <v>18.0</v>
      </c>
      <c r="V145" s="546"/>
      <c r="W145" s="546"/>
      <c r="X145" s="546"/>
      <c r="Y145" s="546"/>
      <c r="Z145" s="546"/>
      <c r="AA145" s="546"/>
    </row>
    <row r="146">
      <c r="B146" s="366" t="s">
        <v>2557</v>
      </c>
      <c r="C146" s="583" t="s">
        <v>2558</v>
      </c>
      <c r="D146" s="546"/>
      <c r="E146" s="546"/>
      <c r="F146" s="546"/>
      <c r="G146" s="546"/>
      <c r="H146" s="545" t="s">
        <v>3917</v>
      </c>
      <c r="I146" s="546"/>
      <c r="J146" s="548" t="s">
        <v>3728</v>
      </c>
      <c r="K146" s="547"/>
      <c r="L146" s="547"/>
      <c r="M146" s="549">
        <v>42342.0</v>
      </c>
      <c r="N146" s="584">
        <v>42340.0</v>
      </c>
      <c r="O146" s="547">
        <f t="shared" si="2"/>
        <v>2</v>
      </c>
      <c r="P146" s="551" t="s">
        <v>4028</v>
      </c>
      <c r="Q146" s="546"/>
      <c r="R146" s="546"/>
      <c r="S146" s="546"/>
      <c r="T146" s="545">
        <v>2623.0</v>
      </c>
      <c r="U146" s="545">
        <v>4242.0</v>
      </c>
      <c r="V146" s="546"/>
      <c r="W146" s="546"/>
      <c r="X146" s="546"/>
      <c r="Y146" s="546"/>
      <c r="Z146" s="546"/>
      <c r="AA146" s="546"/>
    </row>
    <row r="147">
      <c r="B147" s="366" t="s">
        <v>2550</v>
      </c>
      <c r="C147" s="583" t="s">
        <v>2551</v>
      </c>
      <c r="D147" s="546"/>
      <c r="E147" s="546"/>
      <c r="F147" s="546"/>
      <c r="G147" s="546"/>
      <c r="H147" s="545" t="s">
        <v>3940</v>
      </c>
      <c r="I147" s="546"/>
      <c r="J147" s="547"/>
      <c r="K147" s="547"/>
      <c r="L147" s="547"/>
      <c r="M147" s="549">
        <v>42367.0</v>
      </c>
      <c r="N147" s="584">
        <v>42340.0</v>
      </c>
      <c r="O147" s="547">
        <f t="shared" si="2"/>
        <v>27</v>
      </c>
      <c r="P147" s="551" t="s">
        <v>4029</v>
      </c>
      <c r="Q147" s="546"/>
      <c r="R147" s="546"/>
      <c r="S147" s="546"/>
      <c r="T147" s="545">
        <v>499.0</v>
      </c>
      <c r="U147" s="545">
        <v>36.0</v>
      </c>
      <c r="V147" s="546"/>
      <c r="W147" s="546"/>
      <c r="X147" s="546"/>
      <c r="Y147" s="546"/>
      <c r="Z147" s="546"/>
      <c r="AA147" s="546"/>
    </row>
    <row r="148">
      <c r="B148" s="366" t="s">
        <v>2543</v>
      </c>
      <c r="C148" s="583" t="s">
        <v>2544</v>
      </c>
      <c r="D148" s="546"/>
      <c r="E148" s="546"/>
      <c r="F148" s="546"/>
      <c r="G148" s="546"/>
      <c r="H148" s="545" t="s">
        <v>3940</v>
      </c>
      <c r="I148" s="585" t="s">
        <v>3728</v>
      </c>
      <c r="J148" s="547"/>
      <c r="K148" s="547"/>
      <c r="L148" s="547"/>
      <c r="M148" s="549">
        <v>42366.0</v>
      </c>
      <c r="N148" s="584">
        <v>42340.0</v>
      </c>
      <c r="O148" s="547">
        <f t="shared" si="2"/>
        <v>26</v>
      </c>
      <c r="P148" s="551" t="s">
        <v>4030</v>
      </c>
      <c r="Q148" s="546"/>
      <c r="R148" s="546"/>
      <c r="S148" s="546"/>
      <c r="T148" s="545">
        <v>2338.0</v>
      </c>
      <c r="U148" s="545">
        <v>57.0</v>
      </c>
      <c r="V148" s="546"/>
      <c r="W148" s="546"/>
      <c r="X148" s="546"/>
      <c r="Y148" s="546"/>
      <c r="Z148" s="546"/>
      <c r="AA148" s="546"/>
    </row>
    <row r="149">
      <c r="B149" s="366" t="s">
        <v>2536</v>
      </c>
      <c r="C149" s="583" t="s">
        <v>2537</v>
      </c>
      <c r="D149" s="546"/>
      <c r="E149" s="546"/>
      <c r="F149" s="546"/>
      <c r="G149" s="546"/>
      <c r="H149" s="546"/>
      <c r="I149" s="546"/>
      <c r="J149" s="547"/>
      <c r="K149" s="547"/>
      <c r="L149" s="547"/>
      <c r="M149" s="549">
        <v>42374.0</v>
      </c>
      <c r="N149" s="584">
        <v>42340.0</v>
      </c>
      <c r="O149" s="547">
        <f t="shared" si="2"/>
        <v>34</v>
      </c>
      <c r="P149" s="551" t="s">
        <v>4031</v>
      </c>
      <c r="Q149" s="546"/>
      <c r="R149" s="546"/>
      <c r="S149" s="546"/>
      <c r="T149" s="545">
        <v>478.0</v>
      </c>
      <c r="U149" s="545">
        <v>166.0</v>
      </c>
      <c r="V149" s="546"/>
      <c r="W149" s="546"/>
      <c r="X149" s="546"/>
      <c r="Y149" s="546"/>
      <c r="Z149" s="546"/>
      <c r="AA149" s="546"/>
    </row>
    <row r="150">
      <c r="B150" s="366" t="s">
        <v>2530</v>
      </c>
      <c r="C150" s="583" t="s">
        <v>2531</v>
      </c>
      <c r="D150" s="546"/>
      <c r="E150" s="546"/>
      <c r="F150" s="546"/>
      <c r="G150" s="545" t="s">
        <v>3728</v>
      </c>
      <c r="H150" s="546"/>
      <c r="I150" s="546"/>
      <c r="J150" s="547"/>
      <c r="K150" s="547"/>
      <c r="L150" s="547"/>
      <c r="M150" s="549">
        <v>42350.0</v>
      </c>
      <c r="N150" s="584">
        <v>42340.0</v>
      </c>
      <c r="O150" s="547">
        <f t="shared" si="2"/>
        <v>10</v>
      </c>
      <c r="P150" s="551" t="s">
        <v>4032</v>
      </c>
      <c r="Q150" s="546"/>
      <c r="R150" s="546"/>
      <c r="S150" s="546"/>
      <c r="T150" s="545">
        <v>51.0</v>
      </c>
      <c r="U150" s="545">
        <v>20.0</v>
      </c>
      <c r="V150" s="546"/>
      <c r="W150" s="546"/>
      <c r="X150" s="546"/>
      <c r="Y150" s="546"/>
      <c r="Z150" s="546"/>
      <c r="AA150" s="546"/>
    </row>
    <row r="151">
      <c r="B151" s="366" t="s">
        <v>2524</v>
      </c>
      <c r="C151" s="583" t="s">
        <v>2525</v>
      </c>
      <c r="D151" s="546"/>
      <c r="E151" s="546"/>
      <c r="F151" s="546"/>
      <c r="G151" s="546"/>
      <c r="H151" s="545"/>
      <c r="I151" s="585" t="s">
        <v>3728</v>
      </c>
      <c r="J151" s="548" t="s">
        <v>3728</v>
      </c>
      <c r="K151" s="547"/>
      <c r="L151" s="547"/>
      <c r="M151" s="549">
        <v>42370.0</v>
      </c>
      <c r="N151" s="584">
        <v>42340.0</v>
      </c>
      <c r="O151" s="547">
        <f t="shared" si="2"/>
        <v>30</v>
      </c>
      <c r="P151" s="551" t="s">
        <v>4033</v>
      </c>
      <c r="Q151" s="546"/>
      <c r="R151" s="546"/>
      <c r="S151" s="546"/>
      <c r="T151" s="545">
        <v>1477.0</v>
      </c>
      <c r="U151" s="545">
        <v>33.0</v>
      </c>
      <c r="V151" s="546"/>
      <c r="W151" s="546"/>
      <c r="X151" s="546"/>
      <c r="Y151" s="546"/>
      <c r="Z151" s="546"/>
      <c r="AA151" s="546"/>
    </row>
    <row r="152">
      <c r="B152" s="366" t="s">
        <v>2518</v>
      </c>
      <c r="C152" s="583" t="s">
        <v>2519</v>
      </c>
      <c r="D152" s="546"/>
      <c r="E152" s="546"/>
      <c r="F152" s="546"/>
      <c r="G152" s="546"/>
      <c r="H152" s="545" t="s">
        <v>3917</v>
      </c>
      <c r="I152" s="585" t="s">
        <v>3728</v>
      </c>
      <c r="J152" s="547"/>
      <c r="K152" s="547"/>
      <c r="L152" s="547"/>
      <c r="M152" s="549">
        <v>42350.0</v>
      </c>
      <c r="N152" s="584">
        <v>42340.0</v>
      </c>
      <c r="O152" s="547">
        <f t="shared" si="2"/>
        <v>10</v>
      </c>
      <c r="P152" s="551" t="s">
        <v>4034</v>
      </c>
      <c r="Q152" s="546"/>
      <c r="R152" s="546"/>
      <c r="S152" s="546"/>
      <c r="T152" s="545">
        <v>170.0</v>
      </c>
      <c r="U152" s="545">
        <v>23.0</v>
      </c>
      <c r="V152" s="546"/>
      <c r="W152" s="546"/>
      <c r="X152" s="546"/>
      <c r="Y152" s="546"/>
      <c r="Z152" s="546"/>
      <c r="AA152" s="546"/>
    </row>
    <row r="153">
      <c r="B153" s="366" t="s">
        <v>2512</v>
      </c>
      <c r="C153" s="583" t="s">
        <v>2513</v>
      </c>
      <c r="D153" s="546"/>
      <c r="E153" s="546"/>
      <c r="F153" s="546"/>
      <c r="G153" s="546"/>
      <c r="H153" s="546"/>
      <c r="I153" s="585" t="s">
        <v>3728</v>
      </c>
      <c r="J153" s="547"/>
      <c r="K153" s="547"/>
      <c r="L153" s="547"/>
      <c r="M153" s="549">
        <v>42457.0</v>
      </c>
      <c r="N153" s="584">
        <v>42340.0</v>
      </c>
      <c r="O153" s="547">
        <f t="shared" si="2"/>
        <v>117</v>
      </c>
      <c r="P153" s="551" t="s">
        <v>4035</v>
      </c>
      <c r="Q153" s="546"/>
      <c r="R153" s="546"/>
      <c r="S153" s="546"/>
      <c r="T153" s="545">
        <v>506.0</v>
      </c>
      <c r="U153" s="545">
        <v>3.0</v>
      </c>
      <c r="V153" s="546"/>
      <c r="W153" s="546"/>
      <c r="X153" s="546"/>
      <c r="Y153" s="546"/>
      <c r="Z153" s="546"/>
      <c r="AA153" s="546"/>
    </row>
    <row r="154">
      <c r="B154" s="366" t="s">
        <v>2506</v>
      </c>
      <c r="C154" s="583" t="s">
        <v>2507</v>
      </c>
      <c r="D154" s="546"/>
      <c r="E154" s="546"/>
      <c r="F154" s="546"/>
      <c r="G154" s="546"/>
      <c r="H154" s="546"/>
      <c r="I154" s="585" t="s">
        <v>3728</v>
      </c>
      <c r="J154" s="548" t="s">
        <v>3728</v>
      </c>
      <c r="K154" s="547"/>
      <c r="L154" s="547"/>
      <c r="M154" s="549">
        <v>42367.0</v>
      </c>
      <c r="N154" s="584">
        <v>42340.0</v>
      </c>
      <c r="O154" s="547">
        <f t="shared" si="2"/>
        <v>27</v>
      </c>
      <c r="P154" s="551" t="s">
        <v>4036</v>
      </c>
      <c r="Q154" s="546"/>
      <c r="R154" s="546"/>
      <c r="S154" s="546"/>
      <c r="T154" s="545">
        <v>846.0</v>
      </c>
      <c r="U154" s="545">
        <v>141.0</v>
      </c>
      <c r="V154" s="546"/>
      <c r="W154" s="546"/>
      <c r="X154" s="546"/>
      <c r="Y154" s="546"/>
      <c r="Z154" s="546"/>
      <c r="AA154" s="546"/>
    </row>
    <row r="155">
      <c r="B155" s="366" t="s">
        <v>2500</v>
      </c>
      <c r="C155" s="583" t="s">
        <v>2501</v>
      </c>
      <c r="D155" s="546"/>
      <c r="E155" s="546"/>
      <c r="F155" s="546"/>
      <c r="G155" s="546"/>
      <c r="H155" s="545" t="s">
        <v>3940</v>
      </c>
      <c r="I155" s="546"/>
      <c r="J155" s="547"/>
      <c r="K155" s="547"/>
      <c r="L155" s="547"/>
      <c r="M155" s="549">
        <v>42367.0</v>
      </c>
      <c r="N155" s="584">
        <v>42340.0</v>
      </c>
      <c r="O155" s="547">
        <f t="shared" si="2"/>
        <v>27</v>
      </c>
      <c r="P155" s="551" t="s">
        <v>4037</v>
      </c>
      <c r="Q155" s="546"/>
      <c r="R155" s="546"/>
      <c r="S155" s="546"/>
      <c r="T155" s="545">
        <v>524.0</v>
      </c>
      <c r="U155" s="545">
        <v>85.0</v>
      </c>
      <c r="V155" s="546"/>
      <c r="W155" s="546"/>
      <c r="X155" s="546"/>
      <c r="Y155" s="546"/>
      <c r="Z155" s="546"/>
      <c r="AA155" s="546"/>
    </row>
    <row r="156">
      <c r="B156" s="366" t="s">
        <v>2488</v>
      </c>
      <c r="C156" s="583" t="s">
        <v>2489</v>
      </c>
      <c r="D156" s="546"/>
      <c r="E156" s="546"/>
      <c r="F156" s="546"/>
      <c r="G156" s="545" t="s">
        <v>3728</v>
      </c>
      <c r="H156" s="545" t="s">
        <v>3940</v>
      </c>
      <c r="I156" s="546"/>
      <c r="J156" s="547"/>
      <c r="K156" s="547"/>
      <c r="L156" s="547"/>
      <c r="M156" s="549">
        <v>42352.0</v>
      </c>
      <c r="N156" s="584">
        <v>42340.0</v>
      </c>
      <c r="O156" s="547">
        <f t="shared" si="2"/>
        <v>12</v>
      </c>
      <c r="P156" s="551" t="s">
        <v>4038</v>
      </c>
      <c r="Q156" s="546"/>
      <c r="R156" s="546"/>
      <c r="S156" s="546"/>
      <c r="T156" s="545">
        <v>553.0</v>
      </c>
      <c r="U156" s="545">
        <v>1.0</v>
      </c>
      <c r="V156" s="546"/>
      <c r="W156" s="546"/>
      <c r="X156" s="546"/>
      <c r="Y156" s="546"/>
      <c r="Z156" s="546"/>
      <c r="AA156" s="546"/>
    </row>
    <row r="157">
      <c r="B157" s="366" t="s">
        <v>2482</v>
      </c>
      <c r="C157" s="583" t="s">
        <v>2483</v>
      </c>
      <c r="D157" s="546"/>
      <c r="E157" s="546"/>
      <c r="F157" s="546"/>
      <c r="G157" s="545"/>
      <c r="H157" s="546"/>
      <c r="I157" s="546"/>
      <c r="J157" s="547"/>
      <c r="K157" s="548" t="s">
        <v>3728</v>
      </c>
      <c r="L157" s="547"/>
      <c r="M157" s="549">
        <v>42369.0</v>
      </c>
      <c r="N157" s="584">
        <v>42340.0</v>
      </c>
      <c r="O157" s="547">
        <f t="shared" si="2"/>
        <v>29</v>
      </c>
      <c r="P157" s="551" t="s">
        <v>4039</v>
      </c>
      <c r="Q157" s="546"/>
      <c r="R157" s="546"/>
      <c r="S157" s="546"/>
      <c r="T157" s="545">
        <v>1114.0</v>
      </c>
      <c r="U157" s="545">
        <v>0.0</v>
      </c>
      <c r="V157" s="546"/>
      <c r="W157" s="546"/>
      <c r="X157" s="546"/>
      <c r="Y157" s="546"/>
      <c r="Z157" s="546"/>
      <c r="AA157" s="546"/>
    </row>
    <row r="158">
      <c r="A158" s="586" t="s">
        <v>2779</v>
      </c>
      <c r="B158" s="387" t="s">
        <v>2829</v>
      </c>
      <c r="C158" s="587" t="s">
        <v>4040</v>
      </c>
      <c r="D158" s="329"/>
      <c r="E158" s="329"/>
      <c r="F158" s="329"/>
      <c r="G158" s="329"/>
      <c r="H158" s="588" t="s">
        <v>4041</v>
      </c>
      <c r="I158" s="329"/>
      <c r="J158" s="589"/>
      <c r="K158" s="589"/>
      <c r="L158" s="589"/>
      <c r="M158" s="590">
        <v>42367.0</v>
      </c>
      <c r="N158" s="591">
        <v>42093.0</v>
      </c>
      <c r="O158" s="589">
        <f t="shared" si="2"/>
        <v>274</v>
      </c>
      <c r="P158" s="592" t="s">
        <v>4042</v>
      </c>
      <c r="Q158" s="329"/>
      <c r="R158" s="329"/>
      <c r="S158" s="329"/>
      <c r="T158" s="588">
        <v>441.0</v>
      </c>
      <c r="U158" s="588">
        <v>340.0</v>
      </c>
      <c r="V158" s="329"/>
      <c r="W158" s="329"/>
      <c r="X158" s="329"/>
      <c r="Y158" s="329"/>
      <c r="Z158" s="329"/>
      <c r="AA158" s="329"/>
    </row>
    <row r="159">
      <c r="B159" s="387" t="s">
        <v>2824</v>
      </c>
      <c r="C159" s="587" t="s">
        <v>4003</v>
      </c>
      <c r="D159" s="329"/>
      <c r="E159" s="329"/>
      <c r="F159" s="329"/>
      <c r="G159" s="329"/>
      <c r="H159" s="588" t="s">
        <v>3940</v>
      </c>
      <c r="I159" s="329"/>
      <c r="J159" s="589"/>
      <c r="K159" s="589"/>
      <c r="L159" s="589"/>
      <c r="M159" s="590">
        <v>42109.0</v>
      </c>
      <c r="N159" s="591">
        <v>42093.0</v>
      </c>
      <c r="O159" s="589">
        <f t="shared" si="2"/>
        <v>16</v>
      </c>
      <c r="P159" s="592" t="s">
        <v>4043</v>
      </c>
      <c r="Q159" s="329"/>
      <c r="R159" s="329"/>
      <c r="S159" s="329"/>
      <c r="T159" s="588">
        <v>162.0</v>
      </c>
      <c r="U159" s="588">
        <v>202.0</v>
      </c>
      <c r="V159" s="329"/>
      <c r="W159" s="329"/>
      <c r="X159" s="329"/>
      <c r="Y159" s="329"/>
      <c r="Z159" s="329"/>
      <c r="AA159" s="329"/>
    </row>
    <row r="160">
      <c r="B160" s="387" t="s">
        <v>2819</v>
      </c>
      <c r="C160" s="587" t="s">
        <v>4044</v>
      </c>
      <c r="D160" s="329"/>
      <c r="E160" s="329"/>
      <c r="F160" s="329"/>
      <c r="G160" s="329"/>
      <c r="H160" s="588" t="s">
        <v>3940</v>
      </c>
      <c r="I160" s="329"/>
      <c r="J160" s="589"/>
      <c r="K160" s="589"/>
      <c r="L160" s="589"/>
      <c r="M160" s="590">
        <v>42118.0</v>
      </c>
      <c r="N160" s="591">
        <v>42093.0</v>
      </c>
      <c r="O160" s="589">
        <f t="shared" si="2"/>
        <v>25</v>
      </c>
      <c r="P160" s="592" t="s">
        <v>4045</v>
      </c>
      <c r="Q160" s="329"/>
      <c r="R160" s="329"/>
      <c r="S160" s="329"/>
      <c r="T160" s="588">
        <v>89.0</v>
      </c>
      <c r="U160" s="588">
        <v>67.0</v>
      </c>
      <c r="V160" s="329"/>
      <c r="W160" s="329"/>
      <c r="X160" s="329"/>
      <c r="Y160" s="329"/>
      <c r="Z160" s="329"/>
      <c r="AA160" s="329"/>
    </row>
    <row r="161">
      <c r="B161" s="387" t="s">
        <v>2814</v>
      </c>
      <c r="C161" s="587" t="s">
        <v>4046</v>
      </c>
      <c r="D161" s="329"/>
      <c r="E161" s="329"/>
      <c r="F161" s="329"/>
      <c r="G161" s="329"/>
      <c r="H161" s="588" t="s">
        <v>3940</v>
      </c>
      <c r="I161" s="329"/>
      <c r="J161" s="593" t="s">
        <v>3728</v>
      </c>
      <c r="K161" s="589"/>
      <c r="L161" s="589"/>
      <c r="M161" s="590">
        <v>42139.0</v>
      </c>
      <c r="N161" s="591">
        <v>42093.0</v>
      </c>
      <c r="O161" s="589">
        <f t="shared" si="2"/>
        <v>46</v>
      </c>
      <c r="P161" s="592" t="s">
        <v>4047</v>
      </c>
      <c r="Q161" s="329"/>
      <c r="R161" s="329"/>
      <c r="S161" s="329"/>
      <c r="T161" s="588">
        <v>23130.0</v>
      </c>
      <c r="U161" s="588">
        <v>483.0</v>
      </c>
      <c r="V161" s="329"/>
      <c r="W161" s="329"/>
      <c r="X161" s="329"/>
      <c r="Y161" s="329"/>
      <c r="Z161" s="329"/>
      <c r="AA161" s="329"/>
    </row>
    <row r="162">
      <c r="B162" s="387" t="s">
        <v>2809</v>
      </c>
      <c r="C162" s="587" t="s">
        <v>4001</v>
      </c>
      <c r="D162" s="329"/>
      <c r="E162" s="329"/>
      <c r="F162" s="329"/>
      <c r="G162" s="329"/>
      <c r="H162" s="588" t="s">
        <v>3917</v>
      </c>
      <c r="I162" s="329"/>
      <c r="J162" s="593" t="s">
        <v>3728</v>
      </c>
      <c r="K162" s="589"/>
      <c r="L162" s="589"/>
      <c r="M162" s="590">
        <v>42139.0</v>
      </c>
      <c r="N162" s="591">
        <v>42093.0</v>
      </c>
      <c r="O162" s="589">
        <f t="shared" si="2"/>
        <v>46</v>
      </c>
      <c r="P162" s="592" t="s">
        <v>4048</v>
      </c>
      <c r="Q162" s="329"/>
      <c r="R162" s="329"/>
      <c r="S162" s="329"/>
      <c r="T162" s="588">
        <v>836.0</v>
      </c>
      <c r="U162" s="588">
        <v>1015.0</v>
      </c>
      <c r="V162" s="329"/>
      <c r="W162" s="329"/>
      <c r="X162" s="329"/>
      <c r="Y162" s="329"/>
      <c r="Z162" s="329"/>
      <c r="AA162" s="329"/>
    </row>
    <row r="163">
      <c r="B163" s="387" t="s">
        <v>2804</v>
      </c>
      <c r="C163" s="587" t="s">
        <v>4049</v>
      </c>
      <c r="D163" s="329"/>
      <c r="E163" s="329"/>
      <c r="F163" s="329"/>
      <c r="G163" s="588" t="s">
        <v>3728</v>
      </c>
      <c r="H163" s="329"/>
      <c r="I163" s="329"/>
      <c r="J163" s="589"/>
      <c r="K163" s="589"/>
      <c r="L163" s="589"/>
      <c r="M163" s="590">
        <v>42140.0</v>
      </c>
      <c r="N163" s="591">
        <v>42093.0</v>
      </c>
      <c r="O163" s="589">
        <f t="shared" si="2"/>
        <v>47</v>
      </c>
      <c r="P163" s="592" t="s">
        <v>4050</v>
      </c>
      <c r="Q163" s="329"/>
      <c r="R163" s="329"/>
      <c r="S163" s="329"/>
      <c r="T163" s="588">
        <v>424.0</v>
      </c>
      <c r="U163" s="588">
        <v>153.0</v>
      </c>
      <c r="V163" s="329"/>
      <c r="W163" s="329"/>
      <c r="X163" s="329"/>
      <c r="Y163" s="329"/>
      <c r="Z163" s="329"/>
      <c r="AA163" s="329"/>
    </row>
    <row r="164">
      <c r="B164" s="387" t="s">
        <v>2799</v>
      </c>
      <c r="C164" s="587" t="s">
        <v>4051</v>
      </c>
      <c r="D164" s="329"/>
      <c r="E164" s="329"/>
      <c r="F164" s="329"/>
      <c r="G164" s="329"/>
      <c r="H164" s="329"/>
      <c r="I164" s="329"/>
      <c r="J164" s="589"/>
      <c r="K164" s="589"/>
      <c r="L164" s="594" t="s">
        <v>3728</v>
      </c>
      <c r="M164" s="590">
        <v>42240.0</v>
      </c>
      <c r="N164" s="591">
        <v>42093.0</v>
      </c>
      <c r="O164" s="589">
        <f t="shared" si="2"/>
        <v>147</v>
      </c>
      <c r="P164" s="592" t="s">
        <v>4052</v>
      </c>
      <c r="Q164" s="329"/>
      <c r="R164" s="329"/>
      <c r="S164" s="329"/>
      <c r="T164" s="588">
        <v>628.0</v>
      </c>
      <c r="U164" s="588">
        <v>591.0</v>
      </c>
      <c r="V164" s="329"/>
      <c r="W164" s="329"/>
      <c r="X164" s="329"/>
      <c r="Y164" s="329"/>
      <c r="Z164" s="329"/>
      <c r="AA164" s="329"/>
    </row>
    <row r="165">
      <c r="B165" s="387" t="s">
        <v>2794</v>
      </c>
      <c r="C165" s="587" t="s">
        <v>4053</v>
      </c>
      <c r="D165" s="329"/>
      <c r="E165" s="329"/>
      <c r="F165" s="329"/>
      <c r="G165" s="329"/>
      <c r="H165" s="588" t="s">
        <v>3924</v>
      </c>
      <c r="I165" s="329"/>
      <c r="J165" s="593" t="s">
        <v>3728</v>
      </c>
      <c r="K165" s="589"/>
      <c r="L165" s="589"/>
      <c r="M165" s="590">
        <v>42139.0</v>
      </c>
      <c r="N165" s="591">
        <v>42093.0</v>
      </c>
      <c r="O165" s="589">
        <f t="shared" si="2"/>
        <v>46</v>
      </c>
      <c r="P165" s="592" t="s">
        <v>4054</v>
      </c>
      <c r="Q165" s="329"/>
      <c r="R165" s="329"/>
      <c r="S165" s="329"/>
      <c r="T165" s="588">
        <v>987.0</v>
      </c>
      <c r="U165" s="588">
        <v>796.0</v>
      </c>
      <c r="V165" s="329"/>
      <c r="W165" s="329"/>
      <c r="X165" s="329"/>
      <c r="Y165" s="329"/>
      <c r="Z165" s="329"/>
      <c r="AA165" s="329"/>
    </row>
    <row r="166">
      <c r="B166" s="387" t="s">
        <v>2789</v>
      </c>
      <c r="C166" s="587" t="s">
        <v>4055</v>
      </c>
      <c r="D166" s="329"/>
      <c r="E166" s="329"/>
      <c r="F166" s="329"/>
      <c r="G166" s="329"/>
      <c r="H166" s="588" t="s">
        <v>3924</v>
      </c>
      <c r="I166" s="329"/>
      <c r="J166" s="593" t="s">
        <v>3728</v>
      </c>
      <c r="K166" s="589"/>
      <c r="L166" s="589"/>
      <c r="M166" s="590">
        <v>42139.0</v>
      </c>
      <c r="N166" s="591">
        <v>42093.0</v>
      </c>
      <c r="O166" s="589">
        <f t="shared" si="2"/>
        <v>46</v>
      </c>
      <c r="P166" s="592" t="s">
        <v>4056</v>
      </c>
      <c r="Q166" s="329"/>
      <c r="R166" s="329"/>
      <c r="S166" s="329"/>
      <c r="T166" s="588">
        <v>1258.0</v>
      </c>
      <c r="U166" s="588">
        <v>1347.0</v>
      </c>
      <c r="V166" s="329"/>
      <c r="W166" s="329"/>
      <c r="X166" s="329"/>
      <c r="Y166" s="329"/>
      <c r="Z166" s="329"/>
      <c r="AA166" s="329"/>
    </row>
    <row r="167">
      <c r="B167" s="387" t="s">
        <v>2784</v>
      </c>
      <c r="C167" s="587" t="s">
        <v>4057</v>
      </c>
      <c r="D167" s="329"/>
      <c r="E167" s="329"/>
      <c r="F167" s="329"/>
      <c r="G167" s="329"/>
      <c r="H167" s="588"/>
      <c r="I167" s="329"/>
      <c r="J167" s="589"/>
      <c r="K167" s="594" t="s">
        <v>3728</v>
      </c>
      <c r="L167" s="589"/>
      <c r="M167" s="590">
        <v>42118.0</v>
      </c>
      <c r="N167" s="591">
        <v>42093.0</v>
      </c>
      <c r="O167" s="589">
        <f t="shared" si="2"/>
        <v>25</v>
      </c>
      <c r="P167" s="592" t="s">
        <v>4058</v>
      </c>
      <c r="Q167" s="329"/>
      <c r="R167" s="329"/>
      <c r="S167" s="329"/>
      <c r="T167" s="588">
        <v>505.0</v>
      </c>
      <c r="U167" s="588">
        <v>66.0</v>
      </c>
      <c r="V167" s="329"/>
      <c r="W167" s="329"/>
      <c r="X167" s="329"/>
      <c r="Y167" s="329"/>
      <c r="Z167" s="329"/>
      <c r="AA167" s="329"/>
    </row>
    <row r="168">
      <c r="A168" s="562" t="s">
        <v>2734</v>
      </c>
      <c r="B168" s="341" t="s">
        <v>2770</v>
      </c>
      <c r="C168" s="563" t="s">
        <v>3968</v>
      </c>
      <c r="D168" s="565"/>
      <c r="E168" s="565"/>
      <c r="F168" s="565"/>
      <c r="G168" s="438" t="s">
        <v>3728</v>
      </c>
      <c r="H168" s="564"/>
      <c r="I168" s="564"/>
      <c r="J168" s="565"/>
      <c r="K168" s="565"/>
      <c r="L168" s="565"/>
      <c r="M168" s="566">
        <v>42139.0</v>
      </c>
      <c r="N168" s="567">
        <v>42117.0</v>
      </c>
      <c r="O168" s="565">
        <f t="shared" si="2"/>
        <v>22</v>
      </c>
      <c r="P168" s="568" t="s">
        <v>4059</v>
      </c>
      <c r="Q168" s="564"/>
      <c r="R168" s="564"/>
      <c r="S168" s="564"/>
      <c r="T168" s="438">
        <v>731.0</v>
      </c>
      <c r="U168" s="438">
        <v>148.0</v>
      </c>
      <c r="V168" s="564"/>
      <c r="W168" s="564"/>
      <c r="X168" s="564"/>
      <c r="Y168" s="564"/>
      <c r="Z168" s="564"/>
      <c r="AA168" s="564"/>
    </row>
    <row r="169">
      <c r="B169" s="341" t="s">
        <v>2763</v>
      </c>
      <c r="C169" s="563" t="s">
        <v>4060</v>
      </c>
      <c r="D169" s="565"/>
      <c r="E169" s="565"/>
      <c r="F169" s="569" t="s">
        <v>3728</v>
      </c>
      <c r="G169" s="564"/>
      <c r="H169" s="564"/>
      <c r="I169" s="564"/>
      <c r="J169" s="565"/>
      <c r="K169" s="565"/>
      <c r="L169" s="565"/>
      <c r="M169" s="566">
        <v>42139.0</v>
      </c>
      <c r="N169" s="567">
        <v>42117.0</v>
      </c>
      <c r="O169" s="565">
        <f t="shared" si="2"/>
        <v>22</v>
      </c>
      <c r="P169" s="568" t="s">
        <v>4061</v>
      </c>
      <c r="Q169" s="564"/>
      <c r="R169" s="564"/>
      <c r="S169" s="564"/>
      <c r="T169" s="438">
        <v>300.0</v>
      </c>
      <c r="U169" s="438">
        <v>208.0</v>
      </c>
      <c r="V169" s="564"/>
      <c r="W169" s="564"/>
      <c r="X169" s="564"/>
      <c r="Y169" s="564"/>
      <c r="Z169" s="564"/>
      <c r="AA169" s="564"/>
    </row>
    <row r="170">
      <c r="B170" s="341" t="s">
        <v>2757</v>
      </c>
      <c r="C170" s="563" t="s">
        <v>4062</v>
      </c>
      <c r="D170" s="569"/>
      <c r="E170" s="569" t="s">
        <v>4063</v>
      </c>
      <c r="F170" s="565"/>
      <c r="G170" s="564"/>
      <c r="H170" s="564"/>
      <c r="I170" s="564"/>
      <c r="J170" s="565"/>
      <c r="K170" s="565"/>
      <c r="L170" s="565"/>
      <c r="M170" s="566">
        <v>42143.0</v>
      </c>
      <c r="N170" s="567">
        <v>42117.0</v>
      </c>
      <c r="O170" s="565">
        <f t="shared" si="2"/>
        <v>26</v>
      </c>
      <c r="P170" s="568" t="s">
        <v>4064</v>
      </c>
      <c r="Q170" s="564"/>
      <c r="R170" s="564"/>
      <c r="S170" s="564"/>
      <c r="T170" s="438">
        <v>580.0</v>
      </c>
      <c r="U170" s="438">
        <v>426.0</v>
      </c>
      <c r="V170" s="564"/>
      <c r="W170" s="564"/>
      <c r="X170" s="564"/>
      <c r="Y170" s="564"/>
      <c r="Z170" s="564"/>
      <c r="AA170" s="564"/>
    </row>
    <row r="171">
      <c r="B171" s="341" t="s">
        <v>2751</v>
      </c>
      <c r="C171" s="563" t="s">
        <v>4065</v>
      </c>
      <c r="D171" s="565"/>
      <c r="E171" s="565"/>
      <c r="F171" s="565"/>
      <c r="G171" s="564"/>
      <c r="H171" s="564"/>
      <c r="I171" s="438" t="s">
        <v>4066</v>
      </c>
      <c r="J171" s="565"/>
      <c r="K171" s="565"/>
      <c r="L171" s="565"/>
      <c r="M171" s="566">
        <v>42143.0</v>
      </c>
      <c r="N171" s="567">
        <v>42117.0</v>
      </c>
      <c r="O171" s="565">
        <f t="shared" si="2"/>
        <v>26</v>
      </c>
      <c r="P171" s="568" t="s">
        <v>4067</v>
      </c>
      <c r="Q171" s="564"/>
      <c r="R171" s="564"/>
      <c r="S171" s="564"/>
      <c r="T171" s="438">
        <v>59636.0</v>
      </c>
      <c r="U171" s="438">
        <v>144.0</v>
      </c>
      <c r="V171" s="564"/>
      <c r="W171" s="564"/>
      <c r="X171" s="564"/>
      <c r="Y171" s="564"/>
      <c r="Z171" s="564"/>
      <c r="AA171" s="564"/>
    </row>
    <row r="172">
      <c r="B172" s="341" t="s">
        <v>2738</v>
      </c>
      <c r="C172" s="563" t="s">
        <v>4068</v>
      </c>
      <c r="D172" s="565"/>
      <c r="E172" s="565"/>
      <c r="F172" s="569" t="s">
        <v>4069</v>
      </c>
      <c r="G172" s="564"/>
      <c r="H172" s="564"/>
      <c r="I172" s="564"/>
      <c r="J172" s="565"/>
      <c r="K172" s="565"/>
      <c r="L172" s="565"/>
      <c r="M172" s="566">
        <v>42139.0</v>
      </c>
      <c r="N172" s="567">
        <v>42117.0</v>
      </c>
      <c r="O172" s="565">
        <f t="shared" si="2"/>
        <v>22</v>
      </c>
      <c r="P172" s="568" t="s">
        <v>4070</v>
      </c>
      <c r="Q172" s="564"/>
      <c r="R172" s="564"/>
      <c r="S172" s="564"/>
      <c r="T172" s="438">
        <v>622.0</v>
      </c>
      <c r="U172" s="438">
        <v>36.0</v>
      </c>
      <c r="V172" s="564"/>
      <c r="W172" s="564"/>
      <c r="X172" s="564"/>
      <c r="Y172" s="564"/>
      <c r="Z172" s="564"/>
      <c r="AA172" s="564"/>
    </row>
    <row r="173">
      <c r="A173" s="595" t="s">
        <v>2909</v>
      </c>
      <c r="B173" s="379" t="s">
        <v>3002</v>
      </c>
      <c r="C173" s="596" t="s">
        <v>4071</v>
      </c>
      <c r="D173" s="597"/>
      <c r="E173" s="597"/>
      <c r="F173" s="597"/>
      <c r="G173" s="597"/>
      <c r="H173" s="598" t="s">
        <v>3940</v>
      </c>
      <c r="I173" s="597"/>
      <c r="J173" s="599" t="s">
        <v>3728</v>
      </c>
      <c r="K173" s="600"/>
      <c r="L173" s="600"/>
      <c r="M173" s="601">
        <v>42012.0</v>
      </c>
      <c r="N173" s="602">
        <v>41949.0</v>
      </c>
      <c r="O173" s="600">
        <f t="shared" si="2"/>
        <v>63</v>
      </c>
      <c r="P173" s="603" t="s">
        <v>4072</v>
      </c>
      <c r="Q173" s="597"/>
      <c r="R173" s="597"/>
      <c r="S173" s="597"/>
      <c r="T173" s="598">
        <v>1059.0</v>
      </c>
      <c r="U173" s="598">
        <v>757.0</v>
      </c>
      <c r="V173" s="597"/>
      <c r="W173" s="597"/>
      <c r="X173" s="597"/>
      <c r="Y173" s="597"/>
      <c r="Z173" s="597"/>
      <c r="AA173" s="597"/>
    </row>
    <row r="174">
      <c r="B174" s="379" t="s">
        <v>2996</v>
      </c>
      <c r="C174" s="596" t="s">
        <v>4073</v>
      </c>
      <c r="D174" s="597"/>
      <c r="E174" s="597"/>
      <c r="F174" s="597"/>
      <c r="G174" s="598" t="s">
        <v>3728</v>
      </c>
      <c r="H174" s="597"/>
      <c r="I174" s="597"/>
      <c r="J174" s="600"/>
      <c r="K174" s="600"/>
      <c r="L174" s="600"/>
      <c r="M174" s="601">
        <v>41984.0</v>
      </c>
      <c r="N174" s="602">
        <v>41949.0</v>
      </c>
      <c r="O174" s="600">
        <f t="shared" si="2"/>
        <v>35</v>
      </c>
      <c r="P174" s="603" t="s">
        <v>4074</v>
      </c>
      <c r="Q174" s="597"/>
      <c r="R174" s="597"/>
      <c r="S174" s="597"/>
      <c r="T174" s="598">
        <v>202.0</v>
      </c>
      <c r="U174" s="598">
        <v>78.0</v>
      </c>
      <c r="V174" s="597"/>
      <c r="W174" s="597"/>
      <c r="X174" s="597"/>
      <c r="Y174" s="597"/>
      <c r="Z174" s="597"/>
      <c r="AA174" s="597"/>
    </row>
    <row r="175">
      <c r="B175" s="379" t="s">
        <v>2992</v>
      </c>
      <c r="C175" s="596" t="s">
        <v>4075</v>
      </c>
      <c r="D175" s="597"/>
      <c r="E175" s="597"/>
      <c r="F175" s="597"/>
      <c r="G175" s="597"/>
      <c r="H175" s="598" t="s">
        <v>3787</v>
      </c>
      <c r="I175" s="598" t="s">
        <v>4076</v>
      </c>
      <c r="J175" s="600"/>
      <c r="K175" s="600"/>
      <c r="L175" s="600"/>
      <c r="M175" s="601">
        <v>41974.0</v>
      </c>
      <c r="N175" s="602">
        <v>41949.0</v>
      </c>
      <c r="O175" s="600">
        <f t="shared" si="2"/>
        <v>25</v>
      </c>
      <c r="P175" s="603" t="s">
        <v>4077</v>
      </c>
      <c r="Q175" s="597"/>
      <c r="R175" s="597"/>
      <c r="S175" s="597"/>
      <c r="T175" s="598">
        <v>334.0</v>
      </c>
      <c r="U175" s="598">
        <v>364.0</v>
      </c>
      <c r="V175" s="597"/>
      <c r="W175" s="597"/>
      <c r="X175" s="597"/>
      <c r="Y175" s="597"/>
      <c r="Z175" s="597"/>
      <c r="AA175" s="597"/>
    </row>
    <row r="176">
      <c r="B176" s="379" t="s">
        <v>2987</v>
      </c>
      <c r="C176" s="596" t="s">
        <v>4078</v>
      </c>
      <c r="D176" s="597"/>
      <c r="E176" s="597"/>
      <c r="F176" s="597"/>
      <c r="G176" s="598" t="s">
        <v>3728</v>
      </c>
      <c r="H176" s="597"/>
      <c r="I176" s="597"/>
      <c r="J176" s="600"/>
      <c r="K176" s="600"/>
      <c r="L176" s="600"/>
      <c r="M176" s="604">
        <v>41984.0</v>
      </c>
      <c r="N176" s="602">
        <v>41949.0</v>
      </c>
      <c r="O176" s="600">
        <f t="shared" si="2"/>
        <v>35</v>
      </c>
      <c r="P176" s="603" t="s">
        <v>4079</v>
      </c>
      <c r="Q176" s="597"/>
      <c r="R176" s="597"/>
      <c r="S176" s="597"/>
      <c r="T176" s="598">
        <v>2.0</v>
      </c>
      <c r="U176" s="598">
        <v>9.0</v>
      </c>
      <c r="V176" s="597"/>
      <c r="W176" s="597"/>
      <c r="X176" s="597"/>
      <c r="Y176" s="597"/>
      <c r="Z176" s="597"/>
      <c r="AA176" s="597"/>
    </row>
    <row r="177">
      <c r="B177" s="379" t="s">
        <v>2981</v>
      </c>
      <c r="C177" s="596" t="s">
        <v>4080</v>
      </c>
      <c r="D177" s="598"/>
      <c r="E177" s="598" t="s">
        <v>3728</v>
      </c>
      <c r="F177" s="597"/>
      <c r="G177" s="597"/>
      <c r="H177" s="598" t="s">
        <v>3924</v>
      </c>
      <c r="I177" s="597"/>
      <c r="J177" s="600"/>
      <c r="K177" s="600"/>
      <c r="L177" s="600"/>
      <c r="M177" s="604">
        <v>41984.0</v>
      </c>
      <c r="N177" s="602">
        <v>41949.0</v>
      </c>
      <c r="O177" s="600">
        <f t="shared" si="2"/>
        <v>35</v>
      </c>
      <c r="P177" s="603" t="s">
        <v>4081</v>
      </c>
      <c r="Q177" s="597"/>
      <c r="R177" s="597"/>
      <c r="S177" s="597"/>
      <c r="T177" s="598">
        <v>324.0</v>
      </c>
      <c r="U177" s="598">
        <v>436.0</v>
      </c>
      <c r="V177" s="597"/>
      <c r="W177" s="597"/>
      <c r="X177" s="597"/>
      <c r="Y177" s="597"/>
      <c r="Z177" s="597"/>
      <c r="AA177" s="597"/>
    </row>
    <row r="178">
      <c r="B178" s="379" t="s">
        <v>2975</v>
      </c>
      <c r="C178" s="596" t="s">
        <v>4082</v>
      </c>
      <c r="D178" s="597"/>
      <c r="E178" s="597"/>
      <c r="F178" s="597"/>
      <c r="G178" s="597"/>
      <c r="H178" s="598" t="s">
        <v>3940</v>
      </c>
      <c r="I178" s="597"/>
      <c r="J178" s="600"/>
      <c r="K178" s="600"/>
      <c r="L178" s="600"/>
      <c r="M178" s="604">
        <v>41988.0</v>
      </c>
      <c r="N178" s="602">
        <v>41949.0</v>
      </c>
      <c r="O178" s="600">
        <f t="shared" si="2"/>
        <v>39</v>
      </c>
      <c r="P178" s="603" t="s">
        <v>4083</v>
      </c>
      <c r="Q178" s="597"/>
      <c r="R178" s="597"/>
      <c r="S178" s="597"/>
      <c r="T178" s="598">
        <v>287.0</v>
      </c>
      <c r="U178" s="598">
        <v>285.0</v>
      </c>
      <c r="V178" s="597"/>
      <c r="W178" s="597"/>
      <c r="X178" s="597"/>
      <c r="Y178" s="597"/>
      <c r="Z178" s="597"/>
      <c r="AA178" s="597"/>
    </row>
    <row r="179">
      <c r="B179" s="379" t="s">
        <v>2969</v>
      </c>
      <c r="C179" s="596" t="s">
        <v>4084</v>
      </c>
      <c r="D179" s="598"/>
      <c r="E179" s="598" t="s">
        <v>3728</v>
      </c>
      <c r="F179" s="597"/>
      <c r="G179" s="597"/>
      <c r="H179" s="598" t="s">
        <v>3742</v>
      </c>
      <c r="I179" s="597"/>
      <c r="J179" s="600"/>
      <c r="K179" s="600"/>
      <c r="L179" s="600"/>
      <c r="M179" s="604">
        <v>41992.0</v>
      </c>
      <c r="N179" s="602">
        <v>41949.0</v>
      </c>
      <c r="O179" s="600">
        <f t="shared" si="2"/>
        <v>43</v>
      </c>
      <c r="P179" s="603" t="s">
        <v>4085</v>
      </c>
      <c r="Q179" s="597"/>
      <c r="R179" s="597"/>
      <c r="S179" s="597"/>
      <c r="T179" s="598">
        <v>3.0</v>
      </c>
      <c r="U179" s="598">
        <v>2.0</v>
      </c>
      <c r="V179" s="597"/>
      <c r="W179" s="597"/>
      <c r="X179" s="597"/>
      <c r="Y179" s="597"/>
      <c r="Z179" s="597"/>
      <c r="AA179" s="597"/>
    </row>
    <row r="180">
      <c r="B180" s="379" t="s">
        <v>2963</v>
      </c>
      <c r="C180" s="596" t="s">
        <v>4053</v>
      </c>
      <c r="D180" s="597"/>
      <c r="E180" s="597"/>
      <c r="F180" s="597"/>
      <c r="G180" s="597"/>
      <c r="H180" s="598" t="s">
        <v>3728</v>
      </c>
      <c r="I180" s="597"/>
      <c r="J180" s="600"/>
      <c r="K180" s="600"/>
      <c r="L180" s="600"/>
      <c r="M180" s="604">
        <v>41992.0</v>
      </c>
      <c r="N180" s="602">
        <v>41949.0</v>
      </c>
      <c r="O180" s="600">
        <f t="shared" si="2"/>
        <v>43</v>
      </c>
      <c r="P180" s="603" t="s">
        <v>4086</v>
      </c>
      <c r="Q180" s="597"/>
      <c r="R180" s="597"/>
      <c r="S180" s="597"/>
      <c r="T180" s="598">
        <v>653.0</v>
      </c>
      <c r="U180" s="598">
        <v>484.0</v>
      </c>
      <c r="V180" s="597"/>
      <c r="W180" s="597"/>
      <c r="X180" s="597"/>
      <c r="Y180" s="597"/>
      <c r="Z180" s="597"/>
      <c r="AA180" s="597"/>
    </row>
    <row r="181">
      <c r="B181" s="379" t="s">
        <v>2957</v>
      </c>
      <c r="C181" s="596" t="s">
        <v>4087</v>
      </c>
      <c r="D181" s="597"/>
      <c r="E181" s="597"/>
      <c r="F181" s="597"/>
      <c r="G181" s="597"/>
      <c r="H181" s="598" t="s">
        <v>3725</v>
      </c>
      <c r="I181" s="597"/>
      <c r="J181" s="600"/>
      <c r="K181" s="600"/>
      <c r="L181" s="600"/>
      <c r="M181" s="604">
        <v>41988.0</v>
      </c>
      <c r="N181" s="602">
        <v>41949.0</v>
      </c>
      <c r="O181" s="600">
        <f t="shared" si="2"/>
        <v>39</v>
      </c>
      <c r="P181" s="603" t="s">
        <v>4088</v>
      </c>
      <c r="Q181" s="597"/>
      <c r="R181" s="597"/>
      <c r="S181" s="597"/>
      <c r="T181" s="598">
        <v>1162.0</v>
      </c>
      <c r="U181" s="598">
        <v>1334.0</v>
      </c>
      <c r="V181" s="597"/>
      <c r="W181" s="597"/>
      <c r="X181" s="597"/>
      <c r="Y181" s="597"/>
      <c r="Z181" s="597"/>
      <c r="AA181" s="597"/>
    </row>
    <row r="182">
      <c r="B182" s="379" t="s">
        <v>2951</v>
      </c>
      <c r="C182" s="596" t="s">
        <v>4089</v>
      </c>
      <c r="D182" s="597"/>
      <c r="E182" s="597"/>
      <c r="F182" s="597"/>
      <c r="G182" s="598" t="s">
        <v>3728</v>
      </c>
      <c r="H182" s="597"/>
      <c r="I182" s="598" t="s">
        <v>4090</v>
      </c>
      <c r="J182" s="600"/>
      <c r="K182" s="600"/>
      <c r="L182" s="599" t="s">
        <v>3728</v>
      </c>
      <c r="M182" s="604">
        <v>41984.0</v>
      </c>
      <c r="N182" s="602">
        <v>41949.0</v>
      </c>
      <c r="O182" s="600">
        <f t="shared" si="2"/>
        <v>35</v>
      </c>
      <c r="P182" s="603" t="s">
        <v>4091</v>
      </c>
      <c r="Q182" s="597"/>
      <c r="R182" s="597"/>
      <c r="S182" s="597"/>
      <c r="T182" s="598">
        <v>431.0</v>
      </c>
      <c r="U182" s="598">
        <v>526.0</v>
      </c>
      <c r="V182" s="597"/>
      <c r="W182" s="597"/>
      <c r="X182" s="597"/>
      <c r="Y182" s="597"/>
      <c r="Z182" s="597"/>
      <c r="AA182" s="597"/>
    </row>
    <row r="183">
      <c r="B183" s="379" t="s">
        <v>2945</v>
      </c>
      <c r="C183" s="596" t="s">
        <v>4092</v>
      </c>
      <c r="D183" s="597"/>
      <c r="E183" s="597"/>
      <c r="F183" s="597"/>
      <c r="G183" s="598" t="s">
        <v>3728</v>
      </c>
      <c r="H183" s="597"/>
      <c r="I183" s="597"/>
      <c r="J183" s="600"/>
      <c r="K183" s="600"/>
      <c r="L183" s="599" t="s">
        <v>3728</v>
      </c>
      <c r="M183" s="604">
        <v>41984.0</v>
      </c>
      <c r="N183" s="602">
        <v>41949.0</v>
      </c>
      <c r="O183" s="600">
        <f t="shared" si="2"/>
        <v>35</v>
      </c>
      <c r="P183" s="603" t="s">
        <v>4093</v>
      </c>
      <c r="Q183" s="597"/>
      <c r="R183" s="597"/>
      <c r="S183" s="597"/>
      <c r="T183" s="598">
        <v>0.0</v>
      </c>
      <c r="U183" s="598">
        <v>0.0</v>
      </c>
      <c r="V183" s="597"/>
      <c r="W183" s="597"/>
      <c r="X183" s="597"/>
      <c r="Y183" s="597"/>
      <c r="Z183" s="597"/>
      <c r="AA183" s="597"/>
    </row>
    <row r="184">
      <c r="B184" s="379" t="s">
        <v>2940</v>
      </c>
      <c r="C184" s="596" t="s">
        <v>4094</v>
      </c>
      <c r="D184" s="598"/>
      <c r="E184" s="598"/>
      <c r="F184" s="598" t="s">
        <v>3728</v>
      </c>
      <c r="G184" s="597"/>
      <c r="H184" s="597"/>
      <c r="I184" s="597"/>
      <c r="J184" s="600"/>
      <c r="K184" s="600"/>
      <c r="L184" s="600"/>
      <c r="M184" s="604">
        <v>41984.0</v>
      </c>
      <c r="N184" s="602">
        <v>41949.0</v>
      </c>
      <c r="O184" s="600">
        <f t="shared" si="2"/>
        <v>35</v>
      </c>
      <c r="P184" s="603" t="s">
        <v>4095</v>
      </c>
      <c r="Q184" s="597"/>
      <c r="R184" s="597"/>
      <c r="S184" s="597"/>
      <c r="T184" s="598">
        <v>293.0</v>
      </c>
      <c r="U184" s="598">
        <v>63.0</v>
      </c>
      <c r="V184" s="597"/>
      <c r="W184" s="597"/>
      <c r="X184" s="597"/>
      <c r="Y184" s="597"/>
      <c r="Z184" s="597"/>
      <c r="AA184" s="597"/>
    </row>
    <row r="185">
      <c r="B185" s="379" t="s">
        <v>2934</v>
      </c>
      <c r="C185" s="596" t="s">
        <v>4096</v>
      </c>
      <c r="D185" s="597"/>
      <c r="E185" s="597"/>
      <c r="F185" s="597"/>
      <c r="G185" s="598" t="s">
        <v>3728</v>
      </c>
      <c r="H185" s="597"/>
      <c r="I185" s="597"/>
      <c r="J185" s="600"/>
      <c r="K185" s="600"/>
      <c r="L185" s="600"/>
      <c r="M185" s="604">
        <v>41992.0</v>
      </c>
      <c r="N185" s="602">
        <v>41949.0</v>
      </c>
      <c r="O185" s="600">
        <f t="shared" si="2"/>
        <v>43</v>
      </c>
      <c r="P185" s="603" t="s">
        <v>4097</v>
      </c>
      <c r="Q185" s="597"/>
      <c r="R185" s="597"/>
      <c r="S185" s="597"/>
      <c r="T185" s="598">
        <v>278.0</v>
      </c>
      <c r="U185" s="598">
        <v>270.0</v>
      </c>
      <c r="V185" s="597"/>
      <c r="W185" s="597"/>
      <c r="X185" s="597"/>
      <c r="Y185" s="597"/>
      <c r="Z185" s="597"/>
      <c r="AA185" s="597"/>
    </row>
    <row r="186">
      <c r="B186" s="379" t="s">
        <v>2928</v>
      </c>
      <c r="C186" s="596" t="s">
        <v>4098</v>
      </c>
      <c r="D186" s="597"/>
      <c r="E186" s="597"/>
      <c r="F186" s="597"/>
      <c r="G186" s="598" t="s">
        <v>3728</v>
      </c>
      <c r="H186" s="597"/>
      <c r="I186" s="597"/>
      <c r="J186" s="600"/>
      <c r="K186" s="600"/>
      <c r="L186" s="599" t="s">
        <v>3728</v>
      </c>
      <c r="M186" s="604">
        <v>41989.0</v>
      </c>
      <c r="N186" s="602">
        <v>41949.0</v>
      </c>
      <c r="O186" s="600">
        <f t="shared" si="2"/>
        <v>40</v>
      </c>
      <c r="P186" s="603" t="s">
        <v>4099</v>
      </c>
      <c r="Q186" s="597"/>
      <c r="R186" s="597"/>
      <c r="S186" s="597"/>
      <c r="T186" s="598">
        <v>23.0</v>
      </c>
      <c r="U186" s="598">
        <v>29.0</v>
      </c>
      <c r="V186" s="597"/>
      <c r="W186" s="597"/>
      <c r="X186" s="597"/>
      <c r="Y186" s="597"/>
      <c r="Z186" s="597"/>
      <c r="AA186" s="597"/>
    </row>
    <row r="187">
      <c r="B187" s="379" t="s">
        <v>2922</v>
      </c>
      <c r="C187" s="596" t="s">
        <v>4100</v>
      </c>
      <c r="D187" s="597"/>
      <c r="E187" s="597"/>
      <c r="F187" s="597"/>
      <c r="G187" s="598" t="s">
        <v>3728</v>
      </c>
      <c r="H187" s="597"/>
      <c r="I187" s="597"/>
      <c r="J187" s="600"/>
      <c r="K187" s="600"/>
      <c r="L187" s="599" t="s">
        <v>3728</v>
      </c>
      <c r="M187" s="604">
        <v>41989.0</v>
      </c>
      <c r="N187" s="602">
        <v>41949.0</v>
      </c>
      <c r="O187" s="600">
        <f t="shared" si="2"/>
        <v>40</v>
      </c>
      <c r="P187" s="603" t="s">
        <v>4101</v>
      </c>
      <c r="Q187" s="597"/>
      <c r="R187" s="597"/>
      <c r="S187" s="597"/>
      <c r="T187" s="598">
        <v>194.0</v>
      </c>
      <c r="U187" s="598">
        <v>262.0</v>
      </c>
      <c r="V187" s="597"/>
      <c r="W187" s="597"/>
      <c r="X187" s="597"/>
      <c r="Y187" s="597"/>
      <c r="Z187" s="597"/>
      <c r="AA187" s="597"/>
    </row>
    <row r="188">
      <c r="B188" s="379" t="s">
        <v>2916</v>
      </c>
      <c r="C188" s="596" t="s">
        <v>4102</v>
      </c>
      <c r="D188" s="597"/>
      <c r="E188" s="597"/>
      <c r="F188" s="597"/>
      <c r="G188" s="597"/>
      <c r="H188" s="598" t="s">
        <v>3924</v>
      </c>
      <c r="I188" s="597"/>
      <c r="J188" s="599" t="s">
        <v>3728</v>
      </c>
      <c r="K188" s="600"/>
      <c r="L188" s="600"/>
      <c r="M188" s="604">
        <v>41984.0</v>
      </c>
      <c r="N188" s="602">
        <v>41949.0</v>
      </c>
      <c r="O188" s="600">
        <f t="shared" si="2"/>
        <v>35</v>
      </c>
      <c r="P188" s="603" t="s">
        <v>4103</v>
      </c>
      <c r="Q188" s="597"/>
      <c r="R188" s="597"/>
      <c r="S188" s="597"/>
      <c r="T188" s="598">
        <v>343.0</v>
      </c>
      <c r="U188" s="598">
        <v>315.0</v>
      </c>
      <c r="V188" s="597"/>
      <c r="W188" s="597"/>
      <c r="X188" s="597"/>
      <c r="Y188" s="597"/>
      <c r="Z188" s="597"/>
      <c r="AA188" s="597"/>
    </row>
    <row r="189">
      <c r="B189" s="379" t="s">
        <v>2910</v>
      </c>
      <c r="C189" s="596" t="s">
        <v>4104</v>
      </c>
      <c r="D189" s="597"/>
      <c r="E189" s="597"/>
      <c r="F189" s="598" t="s">
        <v>4105</v>
      </c>
      <c r="G189" s="597"/>
      <c r="H189" s="598" t="s">
        <v>4106</v>
      </c>
      <c r="I189" s="597"/>
      <c r="J189" s="600"/>
      <c r="K189" s="600"/>
      <c r="L189" s="600"/>
      <c r="M189" s="604">
        <v>41984.0</v>
      </c>
      <c r="N189" s="602">
        <v>41949.0</v>
      </c>
      <c r="O189" s="600">
        <f t="shared" si="2"/>
        <v>35</v>
      </c>
      <c r="P189" s="603" t="s">
        <v>4107</v>
      </c>
      <c r="Q189" s="597"/>
      <c r="R189" s="597"/>
      <c r="S189" s="597"/>
      <c r="T189" s="598">
        <v>213.0</v>
      </c>
      <c r="U189" s="598">
        <v>338.0</v>
      </c>
      <c r="V189" s="597"/>
      <c r="W189" s="597"/>
      <c r="X189" s="597"/>
      <c r="Y189" s="597"/>
      <c r="Z189" s="597"/>
      <c r="AA189" s="597"/>
    </row>
    <row r="190">
      <c r="A190" s="586" t="s">
        <v>2834</v>
      </c>
      <c r="B190" s="387" t="s">
        <v>2903</v>
      </c>
      <c r="C190" s="587" t="s">
        <v>3128</v>
      </c>
      <c r="D190" s="329"/>
      <c r="E190" s="329"/>
      <c r="F190" s="329"/>
      <c r="G190" s="329"/>
      <c r="H190" s="588" t="s">
        <v>3742</v>
      </c>
      <c r="I190" s="329"/>
      <c r="J190" s="589"/>
      <c r="K190" s="589"/>
      <c r="L190" s="589"/>
      <c r="M190" s="590">
        <v>42027.0</v>
      </c>
      <c r="N190" s="591">
        <v>41976.0</v>
      </c>
      <c r="O190" s="589">
        <f t="shared" si="2"/>
        <v>51</v>
      </c>
      <c r="P190" s="592" t="s">
        <v>4108</v>
      </c>
      <c r="Q190" s="329"/>
      <c r="R190" s="329"/>
      <c r="S190" s="329"/>
      <c r="T190" s="588">
        <v>630.0</v>
      </c>
      <c r="U190" s="588">
        <v>63.0</v>
      </c>
      <c r="V190" s="329"/>
      <c r="W190" s="329"/>
      <c r="X190" s="329"/>
      <c r="Y190" s="329"/>
      <c r="Z190" s="329"/>
      <c r="AA190" s="329"/>
    </row>
    <row r="191">
      <c r="B191" s="387" t="s">
        <v>2897</v>
      </c>
      <c r="C191" s="587" t="s">
        <v>4109</v>
      </c>
      <c r="D191" s="329"/>
      <c r="E191" s="329"/>
      <c r="F191" s="329"/>
      <c r="G191" s="329"/>
      <c r="H191" s="588" t="s">
        <v>3725</v>
      </c>
      <c r="I191" s="588" t="s">
        <v>4110</v>
      </c>
      <c r="J191" s="589"/>
      <c r="K191" s="589"/>
      <c r="L191" s="589"/>
      <c r="M191" s="590">
        <v>42027.0</v>
      </c>
      <c r="N191" s="591">
        <v>41976.0</v>
      </c>
      <c r="O191" s="589">
        <f t="shared" si="2"/>
        <v>51</v>
      </c>
      <c r="P191" s="592" t="s">
        <v>4111</v>
      </c>
      <c r="Q191" s="329"/>
      <c r="R191" s="329"/>
      <c r="S191" s="329"/>
      <c r="T191" s="588">
        <v>368.0</v>
      </c>
      <c r="U191" s="588">
        <v>131.0</v>
      </c>
      <c r="V191" s="329"/>
      <c r="W191" s="329"/>
      <c r="X191" s="329"/>
      <c r="Y191" s="329"/>
      <c r="Z191" s="329"/>
      <c r="AA191" s="329"/>
    </row>
    <row r="192">
      <c r="B192" s="387" t="s">
        <v>2892</v>
      </c>
      <c r="C192" s="605" t="s">
        <v>4112</v>
      </c>
      <c r="D192" s="329"/>
      <c r="E192" s="329"/>
      <c r="F192" s="329"/>
      <c r="G192" s="588" t="s">
        <v>3728</v>
      </c>
      <c r="H192" s="329"/>
      <c r="I192" s="329"/>
      <c r="J192" s="589"/>
      <c r="K192" s="589"/>
      <c r="L192" s="589"/>
      <c r="M192" s="590">
        <v>42079.0</v>
      </c>
      <c r="N192" s="591">
        <v>41976.0</v>
      </c>
      <c r="O192" s="589">
        <f t="shared" si="2"/>
        <v>103</v>
      </c>
      <c r="P192" s="592" t="s">
        <v>4113</v>
      </c>
      <c r="Q192" s="329"/>
      <c r="R192" s="329"/>
      <c r="S192" s="329"/>
      <c r="T192" s="588">
        <v>344.0</v>
      </c>
      <c r="U192" s="588">
        <v>448.0</v>
      </c>
      <c r="V192" s="329"/>
      <c r="W192" s="329"/>
      <c r="X192" s="329"/>
      <c r="Y192" s="329"/>
      <c r="Z192" s="329"/>
      <c r="AA192" s="329"/>
    </row>
    <row r="193">
      <c r="B193" s="387" t="s">
        <v>2885</v>
      </c>
      <c r="C193" s="587" t="s">
        <v>4114</v>
      </c>
      <c r="D193" s="588"/>
      <c r="E193" s="588" t="s">
        <v>3728</v>
      </c>
      <c r="F193" s="329"/>
      <c r="G193" s="329"/>
      <c r="H193" s="329"/>
      <c r="I193" s="329"/>
      <c r="J193" s="589"/>
      <c r="K193" s="589"/>
      <c r="L193" s="589"/>
      <c r="M193" s="590">
        <v>41984.0</v>
      </c>
      <c r="N193" s="591">
        <v>41976.0</v>
      </c>
      <c r="O193" s="589">
        <f t="shared" si="2"/>
        <v>8</v>
      </c>
      <c r="P193" s="592" t="s">
        <v>4115</v>
      </c>
      <c r="Q193" s="329"/>
      <c r="R193" s="329"/>
      <c r="S193" s="329"/>
      <c r="T193" s="588">
        <v>174.0</v>
      </c>
      <c r="U193" s="588">
        <v>193.0</v>
      </c>
      <c r="V193" s="329"/>
      <c r="W193" s="329"/>
      <c r="X193" s="329"/>
      <c r="Y193" s="329"/>
      <c r="Z193" s="329"/>
      <c r="AA193" s="329"/>
    </row>
    <row r="194">
      <c r="B194" s="387" t="s">
        <v>2879</v>
      </c>
      <c r="C194" s="587" t="s">
        <v>3146</v>
      </c>
      <c r="D194" s="588"/>
      <c r="E194" s="588"/>
      <c r="F194" s="588" t="s">
        <v>3728</v>
      </c>
      <c r="G194" s="329"/>
      <c r="H194" s="329"/>
      <c r="I194" s="329"/>
      <c r="J194" s="589"/>
      <c r="K194" s="589"/>
      <c r="L194" s="589"/>
      <c r="M194" s="590">
        <v>41984.0</v>
      </c>
      <c r="N194" s="591">
        <v>41976.0</v>
      </c>
      <c r="O194" s="589">
        <f t="shared" si="2"/>
        <v>8</v>
      </c>
      <c r="P194" s="592" t="s">
        <v>4116</v>
      </c>
      <c r="Q194" s="329"/>
      <c r="R194" s="329"/>
      <c r="S194" s="329"/>
      <c r="T194" s="588">
        <v>130.0</v>
      </c>
      <c r="U194" s="588">
        <v>57.0</v>
      </c>
      <c r="V194" s="329"/>
      <c r="W194" s="329"/>
      <c r="X194" s="329"/>
      <c r="Y194" s="329"/>
      <c r="Z194" s="329"/>
      <c r="AA194" s="329"/>
    </row>
    <row r="195">
      <c r="B195" s="387" t="s">
        <v>2873</v>
      </c>
      <c r="C195" s="587" t="s">
        <v>4117</v>
      </c>
      <c r="D195" s="588"/>
      <c r="E195" s="588" t="s">
        <v>3728</v>
      </c>
      <c r="F195" s="329"/>
      <c r="G195" s="329"/>
      <c r="H195" s="329"/>
      <c r="I195" s="588" t="s">
        <v>3728</v>
      </c>
      <c r="J195" s="589"/>
      <c r="K195" s="589"/>
      <c r="L195" s="589"/>
      <c r="M195" s="590">
        <v>41989.0</v>
      </c>
      <c r="N195" s="591">
        <v>41976.0</v>
      </c>
      <c r="O195" s="589">
        <f t="shared" si="2"/>
        <v>13</v>
      </c>
      <c r="P195" s="592" t="s">
        <v>4118</v>
      </c>
      <c r="Q195" s="329"/>
      <c r="R195" s="329"/>
      <c r="S195" s="329"/>
      <c r="T195" s="588">
        <v>93.0</v>
      </c>
      <c r="U195" s="588">
        <v>124.0</v>
      </c>
      <c r="V195" s="329"/>
      <c r="W195" s="329"/>
      <c r="X195" s="329"/>
      <c r="Y195" s="329"/>
      <c r="Z195" s="329"/>
      <c r="AA195" s="329"/>
    </row>
    <row r="196">
      <c r="B196" s="387" t="s">
        <v>2867</v>
      </c>
      <c r="C196" s="587" t="s">
        <v>4119</v>
      </c>
      <c r="D196" s="588"/>
      <c r="E196" s="588" t="s">
        <v>3728</v>
      </c>
      <c r="F196" s="329"/>
      <c r="G196" s="329"/>
      <c r="H196" s="329"/>
      <c r="I196" s="329"/>
      <c r="J196" s="589"/>
      <c r="K196" s="589"/>
      <c r="L196" s="589"/>
      <c r="M196" s="590">
        <v>41984.0</v>
      </c>
      <c r="N196" s="591">
        <v>41976.0</v>
      </c>
      <c r="O196" s="589">
        <f t="shared" si="2"/>
        <v>8</v>
      </c>
      <c r="P196" s="592" t="s">
        <v>4120</v>
      </c>
      <c r="Q196" s="329"/>
      <c r="R196" s="329"/>
      <c r="S196" s="329"/>
      <c r="T196" s="588">
        <v>212.0</v>
      </c>
      <c r="U196" s="588">
        <v>47.0</v>
      </c>
      <c r="V196" s="329"/>
      <c r="W196" s="329"/>
      <c r="X196" s="329"/>
      <c r="Y196" s="329"/>
      <c r="Z196" s="329"/>
      <c r="AA196" s="329"/>
    </row>
    <row r="197">
      <c r="B197" s="387" t="s">
        <v>2861</v>
      </c>
      <c r="C197" s="587" t="s">
        <v>4121</v>
      </c>
      <c r="D197" s="329"/>
      <c r="E197" s="329"/>
      <c r="F197" s="588" t="s">
        <v>3728</v>
      </c>
      <c r="G197" s="329"/>
      <c r="H197" s="329"/>
      <c r="I197" s="329"/>
      <c r="J197" s="589"/>
      <c r="K197" s="589"/>
      <c r="L197" s="589"/>
      <c r="M197" s="590">
        <v>41984.0</v>
      </c>
      <c r="N197" s="591">
        <v>41976.0</v>
      </c>
      <c r="O197" s="589">
        <f t="shared" si="2"/>
        <v>8</v>
      </c>
      <c r="P197" s="592" t="s">
        <v>4122</v>
      </c>
      <c r="Q197" s="329"/>
      <c r="R197" s="329"/>
      <c r="S197" s="329"/>
      <c r="T197" s="588">
        <v>152.0</v>
      </c>
      <c r="U197" s="588">
        <v>12.0</v>
      </c>
      <c r="V197" s="329"/>
      <c r="W197" s="329"/>
      <c r="X197" s="329"/>
      <c r="Y197" s="329"/>
      <c r="Z197" s="329"/>
      <c r="AA197" s="329"/>
    </row>
    <row r="198">
      <c r="B198" s="387" t="s">
        <v>2849</v>
      </c>
      <c r="C198" s="587" t="s">
        <v>4123</v>
      </c>
      <c r="D198" s="588"/>
      <c r="E198" s="588"/>
      <c r="F198" s="329"/>
      <c r="G198" s="329"/>
      <c r="H198" s="588" t="s">
        <v>3787</v>
      </c>
      <c r="I198" s="329"/>
      <c r="J198" s="589"/>
      <c r="K198" s="589"/>
      <c r="L198" s="589"/>
      <c r="M198" s="590">
        <v>42027.0</v>
      </c>
      <c r="N198" s="591">
        <v>41976.0</v>
      </c>
      <c r="O198" s="589">
        <f t="shared" si="2"/>
        <v>51</v>
      </c>
      <c r="P198" s="592" t="s">
        <v>4124</v>
      </c>
      <c r="Q198" s="329"/>
      <c r="R198" s="329"/>
      <c r="S198" s="329"/>
      <c r="T198" s="588">
        <v>778.0</v>
      </c>
      <c r="U198" s="588">
        <v>184.0</v>
      </c>
      <c r="V198" s="329"/>
      <c r="W198" s="329"/>
      <c r="X198" s="329"/>
      <c r="Y198" s="329"/>
      <c r="Z198" s="329"/>
      <c r="AA198" s="329"/>
    </row>
    <row r="199">
      <c r="B199" s="387" t="s">
        <v>2841</v>
      </c>
      <c r="C199" s="605" t="s">
        <v>4125</v>
      </c>
      <c r="D199" s="329"/>
      <c r="E199" s="329"/>
      <c r="F199" s="329"/>
      <c r="G199" s="588" t="s">
        <v>3728</v>
      </c>
      <c r="H199" s="329"/>
      <c r="I199" s="329"/>
      <c r="J199" s="589"/>
      <c r="K199" s="589"/>
      <c r="L199" s="589"/>
      <c r="M199" s="590">
        <v>41984.0</v>
      </c>
      <c r="N199" s="591">
        <v>41976.0</v>
      </c>
      <c r="O199" s="589">
        <f t="shared" si="2"/>
        <v>8</v>
      </c>
      <c r="P199" s="592" t="s">
        <v>4126</v>
      </c>
      <c r="Q199" s="329"/>
      <c r="R199" s="329"/>
      <c r="S199" s="329"/>
      <c r="T199" s="588">
        <v>662.0</v>
      </c>
      <c r="U199" s="588">
        <v>493.0</v>
      </c>
      <c r="V199" s="329"/>
      <c r="W199" s="329"/>
      <c r="X199" s="329"/>
      <c r="Y199" s="329"/>
      <c r="Z199" s="329"/>
      <c r="AA199" s="329"/>
    </row>
    <row r="200">
      <c r="B200" s="387" t="s">
        <v>2835</v>
      </c>
      <c r="C200" s="605" t="s">
        <v>4127</v>
      </c>
      <c r="D200" s="329"/>
      <c r="E200" s="329"/>
      <c r="F200" s="588"/>
      <c r="G200" s="588" t="s">
        <v>3728</v>
      </c>
      <c r="H200" s="329"/>
      <c r="I200" s="329"/>
      <c r="J200" s="589"/>
      <c r="K200" s="589"/>
      <c r="L200" s="589"/>
      <c r="M200" s="590">
        <v>41984.0</v>
      </c>
      <c r="N200" s="591">
        <v>41976.0</v>
      </c>
      <c r="O200" s="589">
        <f t="shared" si="2"/>
        <v>8</v>
      </c>
      <c r="P200" s="592" t="s">
        <v>4128</v>
      </c>
      <c r="Q200" s="329"/>
      <c r="R200" s="329"/>
      <c r="S200" s="329"/>
      <c r="T200" s="588">
        <v>2028.0</v>
      </c>
      <c r="U200" s="588">
        <v>2425.0</v>
      </c>
      <c r="V200" s="329"/>
      <c r="W200" s="329"/>
      <c r="X200" s="329"/>
      <c r="Y200" s="329"/>
      <c r="Z200" s="329"/>
      <c r="AA200" s="329"/>
    </row>
    <row r="201">
      <c r="A201" s="553" t="s">
        <v>3035</v>
      </c>
      <c r="B201" s="353" t="s">
        <v>3057</v>
      </c>
      <c r="C201" s="554" t="s">
        <v>4129</v>
      </c>
      <c r="D201" s="555"/>
      <c r="E201" s="555"/>
      <c r="F201" s="555"/>
      <c r="G201" s="555"/>
      <c r="H201" s="556" t="s">
        <v>3787</v>
      </c>
      <c r="I201" s="555"/>
      <c r="J201" s="557"/>
      <c r="K201" s="557"/>
      <c r="L201" s="557"/>
      <c r="M201" s="559">
        <v>41939.0</v>
      </c>
      <c r="N201" s="560">
        <v>41738.0</v>
      </c>
      <c r="O201" s="557">
        <f t="shared" si="2"/>
        <v>201</v>
      </c>
      <c r="P201" s="561" t="s">
        <v>4130</v>
      </c>
      <c r="Q201" s="555"/>
      <c r="R201" s="555"/>
      <c r="S201" s="555"/>
      <c r="T201" s="556">
        <v>1725.0</v>
      </c>
      <c r="U201" s="556">
        <v>70.0</v>
      </c>
      <c r="V201" s="555"/>
      <c r="W201" s="555"/>
      <c r="X201" s="555"/>
      <c r="Y201" s="555"/>
      <c r="Z201" s="555"/>
      <c r="AA201" s="555"/>
    </row>
    <row r="202">
      <c r="B202" s="353" t="s">
        <v>3052</v>
      </c>
      <c r="C202" s="554" t="s">
        <v>4131</v>
      </c>
      <c r="D202" s="555"/>
      <c r="E202" s="555"/>
      <c r="F202" s="555"/>
      <c r="G202" s="556" t="s">
        <v>3728</v>
      </c>
      <c r="H202" s="555"/>
      <c r="I202" s="555"/>
      <c r="J202" s="557"/>
      <c r="K202" s="558" t="s">
        <v>4132</v>
      </c>
      <c r="L202" s="557"/>
      <c r="M202" s="559">
        <v>41744.0</v>
      </c>
      <c r="N202" s="560">
        <v>41738.0</v>
      </c>
      <c r="O202" s="557">
        <f t="shared" si="2"/>
        <v>6</v>
      </c>
      <c r="P202" s="561" t="s">
        <v>4133</v>
      </c>
      <c r="Q202" s="555"/>
      <c r="R202" s="555"/>
      <c r="S202" s="555"/>
      <c r="T202" s="556">
        <v>671.0</v>
      </c>
      <c r="U202" s="556">
        <v>634.0</v>
      </c>
      <c r="V202" s="555"/>
      <c r="W202" s="555"/>
      <c r="X202" s="555"/>
      <c r="Y202" s="555"/>
      <c r="Z202" s="555"/>
      <c r="AA202" s="555"/>
    </row>
    <row r="203">
      <c r="B203" s="353" t="s">
        <v>3046</v>
      </c>
      <c r="C203" s="554" t="s">
        <v>4134</v>
      </c>
      <c r="D203" s="555"/>
      <c r="E203" s="555"/>
      <c r="F203" s="555"/>
      <c r="G203" s="555"/>
      <c r="H203" s="556" t="s">
        <v>4135</v>
      </c>
      <c r="I203" s="555"/>
      <c r="J203" s="557"/>
      <c r="K203" s="557"/>
      <c r="L203" s="557"/>
      <c r="M203" s="606"/>
      <c r="N203" s="560">
        <v>41738.0</v>
      </c>
      <c r="O203" s="557"/>
      <c r="P203" s="556" t="s">
        <v>4136</v>
      </c>
      <c r="Q203" s="555"/>
      <c r="R203" s="555"/>
      <c r="S203" s="555"/>
      <c r="T203" s="555"/>
      <c r="U203" s="555"/>
      <c r="V203" s="555"/>
      <c r="W203" s="555"/>
      <c r="X203" s="555"/>
      <c r="Y203" s="555"/>
      <c r="Z203" s="555"/>
      <c r="AA203" s="555"/>
    </row>
    <row r="204">
      <c r="B204" s="353" t="s">
        <v>3041</v>
      </c>
      <c r="C204" s="554" t="s">
        <v>4137</v>
      </c>
      <c r="D204" s="555"/>
      <c r="E204" s="555"/>
      <c r="F204" s="555"/>
      <c r="G204" s="555"/>
      <c r="H204" s="556" t="s">
        <v>4135</v>
      </c>
      <c r="I204" s="555"/>
      <c r="J204" s="557"/>
      <c r="K204" s="557"/>
      <c r="L204" s="557"/>
      <c r="M204" s="606"/>
      <c r="N204" s="560">
        <v>41738.0</v>
      </c>
      <c r="O204" s="557"/>
      <c r="P204" s="556" t="s">
        <v>4136</v>
      </c>
      <c r="Q204" s="555"/>
      <c r="R204" s="555"/>
      <c r="S204" s="555"/>
      <c r="T204" s="555"/>
      <c r="U204" s="555"/>
      <c r="V204" s="555"/>
      <c r="W204" s="555"/>
      <c r="X204" s="555"/>
      <c r="Y204" s="555"/>
      <c r="Z204" s="555"/>
      <c r="AA204" s="555"/>
    </row>
    <row r="205">
      <c r="B205" s="353" t="s">
        <v>3036</v>
      </c>
      <c r="C205" s="554" t="s">
        <v>4138</v>
      </c>
      <c r="D205" s="555"/>
      <c r="E205" s="555"/>
      <c r="F205" s="555"/>
      <c r="G205" s="555"/>
      <c r="H205" s="556" t="s">
        <v>3787</v>
      </c>
      <c r="I205" s="555"/>
      <c r="J205" s="558" t="s">
        <v>3728</v>
      </c>
      <c r="K205" s="557"/>
      <c r="L205" s="557"/>
      <c r="M205" s="559">
        <v>41878.0</v>
      </c>
      <c r="N205" s="560">
        <v>41738.0</v>
      </c>
      <c r="O205" s="557">
        <f t="shared" ref="O205:O208" si="3">M205-N205</f>
        <v>140</v>
      </c>
      <c r="P205" s="561" t="s">
        <v>4139</v>
      </c>
      <c r="Q205" s="555"/>
      <c r="R205" s="555"/>
      <c r="S205" s="555"/>
      <c r="T205" s="556">
        <v>3412.0</v>
      </c>
      <c r="U205" s="556">
        <v>331.0</v>
      </c>
      <c r="V205" s="555"/>
      <c r="W205" s="555"/>
      <c r="X205" s="555"/>
      <c r="Y205" s="555"/>
      <c r="Z205" s="555"/>
      <c r="AA205" s="555"/>
    </row>
    <row r="206">
      <c r="A206" s="595" t="s">
        <v>3008</v>
      </c>
      <c r="B206" s="379" t="s">
        <v>3028</v>
      </c>
      <c r="C206" s="596" t="s">
        <v>3128</v>
      </c>
      <c r="D206" s="598"/>
      <c r="E206" s="598" t="s">
        <v>3728</v>
      </c>
      <c r="F206" s="597"/>
      <c r="G206" s="597"/>
      <c r="H206" s="597"/>
      <c r="I206" s="597"/>
      <c r="J206" s="600"/>
      <c r="K206" s="600"/>
      <c r="L206" s="600"/>
      <c r="M206" s="601">
        <v>41787.0</v>
      </c>
      <c r="N206" s="602">
        <v>41753.0</v>
      </c>
      <c r="O206" s="600">
        <f t="shared" si="3"/>
        <v>34</v>
      </c>
      <c r="P206" s="603" t="s">
        <v>4140</v>
      </c>
      <c r="Q206" s="597"/>
      <c r="R206" s="597"/>
      <c r="S206" s="597"/>
      <c r="T206" s="598">
        <v>2719.0</v>
      </c>
      <c r="U206" s="598">
        <v>711.0</v>
      </c>
      <c r="V206" s="597"/>
      <c r="W206" s="597"/>
      <c r="X206" s="597"/>
      <c r="Y206" s="597"/>
      <c r="Z206" s="597"/>
      <c r="AA206" s="597"/>
    </row>
    <row r="207">
      <c r="B207" s="379" t="s">
        <v>3023</v>
      </c>
      <c r="C207" s="596" t="s">
        <v>4141</v>
      </c>
      <c r="D207" s="598"/>
      <c r="E207" s="598"/>
      <c r="F207" s="597"/>
      <c r="G207" s="597"/>
      <c r="H207" s="598" t="s">
        <v>3725</v>
      </c>
      <c r="I207" s="597"/>
      <c r="J207" s="600"/>
      <c r="K207" s="600"/>
      <c r="L207" s="600"/>
      <c r="M207" s="601">
        <v>41907.0</v>
      </c>
      <c r="N207" s="602">
        <v>41753.0</v>
      </c>
      <c r="O207" s="600">
        <f t="shared" si="3"/>
        <v>154</v>
      </c>
      <c r="P207" s="603" t="s">
        <v>4142</v>
      </c>
      <c r="Q207" s="597"/>
      <c r="R207" s="597"/>
      <c r="S207" s="597"/>
      <c r="T207" s="598">
        <v>823.0</v>
      </c>
      <c r="U207" s="598">
        <v>468.0</v>
      </c>
      <c r="V207" s="597"/>
      <c r="W207" s="597"/>
      <c r="X207" s="597"/>
      <c r="Y207" s="597"/>
      <c r="Z207" s="597"/>
      <c r="AA207" s="597"/>
    </row>
    <row r="208">
      <c r="B208" s="379" t="s">
        <v>3016</v>
      </c>
      <c r="C208" s="596" t="s">
        <v>3017</v>
      </c>
      <c r="D208" s="597"/>
      <c r="E208" s="597"/>
      <c r="F208" s="597"/>
      <c r="G208" s="597"/>
      <c r="H208" s="598" t="s">
        <v>4143</v>
      </c>
      <c r="I208" s="597"/>
      <c r="J208" s="600"/>
      <c r="K208" s="600"/>
      <c r="L208" s="600"/>
      <c r="M208" s="601">
        <v>41878.0</v>
      </c>
      <c r="N208" s="602">
        <v>41753.0</v>
      </c>
      <c r="O208" s="600">
        <f t="shared" si="3"/>
        <v>125</v>
      </c>
      <c r="P208" s="603" t="s">
        <v>4139</v>
      </c>
      <c r="Q208" s="597"/>
      <c r="R208" s="597"/>
      <c r="S208" s="597"/>
      <c r="T208" s="598">
        <v>3412.0</v>
      </c>
      <c r="U208" s="598">
        <v>331.0</v>
      </c>
      <c r="V208" s="597"/>
      <c r="W208" s="597"/>
      <c r="X208" s="597"/>
      <c r="Y208" s="597"/>
      <c r="Z208" s="597"/>
      <c r="AA208" s="597"/>
    </row>
    <row r="209">
      <c r="B209" s="379" t="s">
        <v>3009</v>
      </c>
      <c r="C209" s="596" t="s">
        <v>3010</v>
      </c>
      <c r="D209" s="597"/>
      <c r="E209" s="597"/>
      <c r="F209" s="597"/>
      <c r="G209" s="597"/>
      <c r="H209" s="598" t="s">
        <v>4135</v>
      </c>
      <c r="I209" s="597"/>
      <c r="J209" s="600"/>
      <c r="K209" s="600"/>
      <c r="L209" s="600"/>
      <c r="M209" s="607"/>
      <c r="N209" s="602">
        <v>41753.0</v>
      </c>
      <c r="O209" s="600"/>
      <c r="P209" s="608" t="s">
        <v>4136</v>
      </c>
      <c r="Q209" s="597"/>
      <c r="R209" s="597"/>
      <c r="S209" s="597"/>
      <c r="T209" s="597"/>
      <c r="U209" s="597"/>
      <c r="V209" s="597"/>
      <c r="W209" s="597"/>
      <c r="X209" s="597"/>
      <c r="Y209" s="597"/>
      <c r="Z209" s="597"/>
      <c r="AA209" s="597"/>
    </row>
    <row r="210">
      <c r="A210" s="609" t="s">
        <v>3155</v>
      </c>
      <c r="B210" s="395" t="s">
        <v>3215</v>
      </c>
      <c r="C210" s="610" t="s">
        <v>4144</v>
      </c>
      <c r="D210" s="527"/>
      <c r="E210" s="527"/>
      <c r="F210" s="527"/>
      <c r="G210" s="527"/>
      <c r="H210" s="528" t="s">
        <v>3940</v>
      </c>
      <c r="I210" s="527"/>
      <c r="J210" s="529"/>
      <c r="K210" s="529"/>
      <c r="L210" s="529"/>
      <c r="M210" s="611">
        <v>41591.0</v>
      </c>
      <c r="N210" s="612">
        <v>41576.0</v>
      </c>
      <c r="O210" s="529">
        <f t="shared" ref="O210:O213" si="4">M210-N210</f>
        <v>15</v>
      </c>
      <c r="P210" s="533" t="s">
        <v>4145</v>
      </c>
      <c r="Q210" s="527"/>
      <c r="R210" s="527"/>
      <c r="S210" s="527"/>
      <c r="T210" s="528">
        <v>176.0</v>
      </c>
      <c r="U210" s="528">
        <v>26.0</v>
      </c>
      <c r="V210" s="527"/>
      <c r="W210" s="527"/>
      <c r="X210" s="527"/>
      <c r="Y210" s="527"/>
      <c r="Z210" s="527"/>
      <c r="AA210" s="527"/>
    </row>
    <row r="211">
      <c r="B211" s="395" t="s">
        <v>3211</v>
      </c>
      <c r="C211" s="610" t="s">
        <v>4146</v>
      </c>
      <c r="D211" s="527"/>
      <c r="E211" s="527"/>
      <c r="F211" s="527"/>
      <c r="G211" s="527"/>
      <c r="H211" s="528" t="s">
        <v>3917</v>
      </c>
      <c r="I211" s="527"/>
      <c r="J211" s="529"/>
      <c r="K211" s="529"/>
      <c r="L211" s="529"/>
      <c r="M211" s="531">
        <v>41589.0</v>
      </c>
      <c r="N211" s="613">
        <v>41576.0</v>
      </c>
      <c r="O211" s="529">
        <f t="shared" si="4"/>
        <v>13</v>
      </c>
      <c r="P211" s="533" t="s">
        <v>4147</v>
      </c>
      <c r="Q211" s="527"/>
      <c r="R211" s="527"/>
      <c r="S211" s="527"/>
      <c r="T211" s="528">
        <v>463.0</v>
      </c>
      <c r="U211" s="528">
        <v>433.0</v>
      </c>
      <c r="V211" s="527"/>
      <c r="W211" s="527"/>
      <c r="X211" s="527"/>
      <c r="Y211" s="527"/>
      <c r="Z211" s="527"/>
      <c r="AA211" s="527"/>
    </row>
    <row r="212">
      <c r="B212" s="395" t="s">
        <v>3207</v>
      </c>
      <c r="C212" s="610" t="s">
        <v>4148</v>
      </c>
      <c r="D212" s="527"/>
      <c r="E212" s="527"/>
      <c r="F212" s="527"/>
      <c r="G212" s="527"/>
      <c r="H212" s="528" t="s">
        <v>3940</v>
      </c>
      <c r="I212" s="527"/>
      <c r="J212" s="529"/>
      <c r="K212" s="529"/>
      <c r="L212" s="529"/>
      <c r="M212" s="531">
        <v>41586.0</v>
      </c>
      <c r="N212" s="612">
        <v>41576.0</v>
      </c>
      <c r="O212" s="529">
        <f t="shared" si="4"/>
        <v>10</v>
      </c>
      <c r="P212" s="533" t="s">
        <v>4149</v>
      </c>
      <c r="Q212" s="527"/>
      <c r="R212" s="527"/>
      <c r="S212" s="527"/>
      <c r="T212" s="528">
        <v>778.0</v>
      </c>
      <c r="U212" s="528">
        <v>285.0</v>
      </c>
      <c r="V212" s="527"/>
      <c r="W212" s="527"/>
      <c r="X212" s="527"/>
      <c r="Y212" s="527"/>
      <c r="Z212" s="527"/>
      <c r="AA212" s="527"/>
    </row>
    <row r="213">
      <c r="B213" s="395" t="s">
        <v>3203</v>
      </c>
      <c r="C213" s="610" t="s">
        <v>4150</v>
      </c>
      <c r="D213" s="528"/>
      <c r="E213" s="528" t="s">
        <v>3728</v>
      </c>
      <c r="F213" s="527"/>
      <c r="G213" s="527"/>
      <c r="H213" s="528" t="s">
        <v>4151</v>
      </c>
      <c r="I213" s="528"/>
      <c r="J213" s="529"/>
      <c r="K213" s="529"/>
      <c r="L213" s="529"/>
      <c r="M213" s="531">
        <v>41603.0</v>
      </c>
      <c r="N213" s="613">
        <v>41576.0</v>
      </c>
      <c r="O213" s="529">
        <f t="shared" si="4"/>
        <v>27</v>
      </c>
      <c r="P213" s="533" t="s">
        <v>4152</v>
      </c>
      <c r="Q213" s="527"/>
      <c r="R213" s="527"/>
      <c r="S213" s="527"/>
      <c r="T213" s="528">
        <v>657.0</v>
      </c>
      <c r="U213" s="528">
        <v>212.0</v>
      </c>
      <c r="V213" s="527"/>
      <c r="W213" s="527"/>
      <c r="X213" s="527"/>
      <c r="Y213" s="527"/>
      <c r="Z213" s="527"/>
      <c r="AA213" s="527"/>
    </row>
    <row r="214">
      <c r="B214" s="395" t="s">
        <v>3199</v>
      </c>
      <c r="C214" s="610" t="s">
        <v>4153</v>
      </c>
      <c r="D214" s="527"/>
      <c r="E214" s="527"/>
      <c r="F214" s="527"/>
      <c r="G214" s="527"/>
      <c r="H214" s="528" t="s">
        <v>4135</v>
      </c>
      <c r="I214" s="527"/>
      <c r="J214" s="529"/>
      <c r="K214" s="529"/>
      <c r="L214" s="529"/>
      <c r="M214" s="614"/>
      <c r="N214" s="612">
        <v>41576.0</v>
      </c>
      <c r="O214" s="529"/>
      <c r="P214" s="615" t="s">
        <v>4136</v>
      </c>
      <c r="Q214" s="527"/>
      <c r="R214" s="527"/>
      <c r="S214" s="527"/>
      <c r="T214" s="527"/>
      <c r="U214" s="527"/>
      <c r="V214" s="527"/>
      <c r="W214" s="527"/>
      <c r="X214" s="527"/>
      <c r="Y214" s="527"/>
      <c r="Z214" s="527"/>
      <c r="AA214" s="527"/>
    </row>
    <row r="215">
      <c r="B215" s="395" t="s">
        <v>3196</v>
      </c>
      <c r="C215" s="610" t="s">
        <v>4154</v>
      </c>
      <c r="D215" s="527"/>
      <c r="E215" s="527"/>
      <c r="F215" s="527"/>
      <c r="G215" s="527"/>
      <c r="H215" s="527"/>
      <c r="I215" s="528" t="s">
        <v>4155</v>
      </c>
      <c r="J215" s="530" t="s">
        <v>3728</v>
      </c>
      <c r="K215" s="529"/>
      <c r="L215" s="529"/>
      <c r="M215" s="531">
        <v>41603.0</v>
      </c>
      <c r="N215" s="613">
        <v>41576.0</v>
      </c>
      <c r="O215" s="529">
        <f t="shared" ref="O215:O218" si="5">M215-N215</f>
        <v>27</v>
      </c>
      <c r="P215" s="533" t="s">
        <v>4156</v>
      </c>
      <c r="Q215" s="527"/>
      <c r="R215" s="527"/>
      <c r="S215" s="527"/>
      <c r="T215" s="528">
        <v>1254.0</v>
      </c>
      <c r="U215" s="528">
        <v>1155.0</v>
      </c>
      <c r="V215" s="527"/>
      <c r="W215" s="527"/>
      <c r="X215" s="527"/>
      <c r="Y215" s="527"/>
      <c r="Z215" s="527"/>
      <c r="AA215" s="527"/>
    </row>
    <row r="216">
      <c r="B216" s="395" t="s">
        <v>3192</v>
      </c>
      <c r="C216" s="610" t="s">
        <v>4157</v>
      </c>
      <c r="D216" s="527"/>
      <c r="E216" s="527"/>
      <c r="F216" s="527"/>
      <c r="G216" s="527"/>
      <c r="H216" s="528" t="s">
        <v>3924</v>
      </c>
      <c r="I216" s="527"/>
      <c r="J216" s="529"/>
      <c r="K216" s="529"/>
      <c r="L216" s="529"/>
      <c r="M216" s="531">
        <v>41586.0</v>
      </c>
      <c r="N216" s="612">
        <v>41576.0</v>
      </c>
      <c r="O216" s="529">
        <f t="shared" si="5"/>
        <v>10</v>
      </c>
      <c r="P216" s="533" t="s">
        <v>4158</v>
      </c>
      <c r="Q216" s="527"/>
      <c r="R216" s="527"/>
      <c r="S216" s="527"/>
      <c r="T216" s="528">
        <v>318.0</v>
      </c>
      <c r="U216" s="528">
        <v>402.0</v>
      </c>
      <c r="V216" s="527"/>
      <c r="W216" s="527"/>
      <c r="X216" s="527"/>
      <c r="Y216" s="527"/>
      <c r="Z216" s="527"/>
      <c r="AA216" s="527"/>
    </row>
    <row r="217">
      <c r="B217" s="395" t="s">
        <v>3188</v>
      </c>
      <c r="C217" s="610" t="s">
        <v>4159</v>
      </c>
      <c r="D217" s="527"/>
      <c r="E217" s="527"/>
      <c r="F217" s="527"/>
      <c r="G217" s="527"/>
      <c r="H217" s="528" t="s">
        <v>3924</v>
      </c>
      <c r="I217" s="527"/>
      <c r="J217" s="529"/>
      <c r="K217" s="529"/>
      <c r="L217" s="529"/>
      <c r="M217" s="531">
        <v>41586.0</v>
      </c>
      <c r="N217" s="613">
        <v>41576.0</v>
      </c>
      <c r="O217" s="529">
        <f t="shared" si="5"/>
        <v>10</v>
      </c>
      <c r="P217" s="533" t="s">
        <v>4160</v>
      </c>
      <c r="Q217" s="527"/>
      <c r="R217" s="527"/>
      <c r="S217" s="527"/>
      <c r="T217" s="528">
        <v>581.0</v>
      </c>
      <c r="U217" s="528">
        <v>436.0</v>
      </c>
      <c r="V217" s="527"/>
      <c r="W217" s="527"/>
      <c r="X217" s="527"/>
      <c r="Y217" s="527"/>
      <c r="Z217" s="527"/>
      <c r="AA217" s="527"/>
    </row>
    <row r="218">
      <c r="B218" s="395" t="s">
        <v>3184</v>
      </c>
      <c r="C218" s="610" t="s">
        <v>4161</v>
      </c>
      <c r="D218" s="528"/>
      <c r="E218" s="528" t="s">
        <v>3728</v>
      </c>
      <c r="F218" s="527"/>
      <c r="G218" s="527"/>
      <c r="H218" s="527"/>
      <c r="I218" s="527"/>
      <c r="J218" s="529"/>
      <c r="K218" s="529"/>
      <c r="L218" s="529"/>
      <c r="M218" s="531">
        <v>41589.0</v>
      </c>
      <c r="N218" s="612">
        <v>41576.0</v>
      </c>
      <c r="O218" s="529">
        <f t="shared" si="5"/>
        <v>13</v>
      </c>
      <c r="P218" s="533" t="s">
        <v>4162</v>
      </c>
      <c r="Q218" s="527"/>
      <c r="R218" s="527"/>
      <c r="S218" s="527"/>
      <c r="T218" s="528">
        <v>192.0</v>
      </c>
      <c r="U218" s="528">
        <v>50.0</v>
      </c>
      <c r="V218" s="527"/>
      <c r="W218" s="527"/>
      <c r="X218" s="527"/>
      <c r="Y218" s="527"/>
      <c r="Z218" s="527"/>
      <c r="AA218" s="527"/>
    </row>
    <row r="219">
      <c r="B219" s="395" t="s">
        <v>3180</v>
      </c>
      <c r="C219" s="610" t="s">
        <v>4163</v>
      </c>
      <c r="D219" s="527"/>
      <c r="E219" s="527"/>
      <c r="F219" s="527"/>
      <c r="G219" s="527"/>
      <c r="H219" s="528" t="s">
        <v>4164</v>
      </c>
      <c r="I219" s="527"/>
      <c r="J219" s="529"/>
      <c r="K219" s="529"/>
      <c r="L219" s="529"/>
      <c r="M219" s="614"/>
      <c r="N219" s="613">
        <v>41576.0</v>
      </c>
      <c r="O219" s="529"/>
      <c r="P219" s="528" t="s">
        <v>4136</v>
      </c>
      <c r="Q219" s="527"/>
      <c r="R219" s="527"/>
      <c r="S219" s="527"/>
      <c r="T219" s="527"/>
      <c r="U219" s="527"/>
      <c r="V219" s="527"/>
      <c r="W219" s="527"/>
      <c r="X219" s="527"/>
      <c r="Y219" s="527"/>
      <c r="Z219" s="527"/>
      <c r="AA219" s="527"/>
    </row>
    <row r="220">
      <c r="B220" s="395" t="s">
        <v>3176</v>
      </c>
      <c r="C220" s="610" t="s">
        <v>4165</v>
      </c>
      <c r="D220" s="527"/>
      <c r="E220" s="527"/>
      <c r="F220" s="527"/>
      <c r="G220" s="527"/>
      <c r="H220" s="528" t="s">
        <v>4164</v>
      </c>
      <c r="I220" s="527"/>
      <c r="J220" s="529"/>
      <c r="K220" s="529"/>
      <c r="L220" s="529"/>
      <c r="M220" s="614"/>
      <c r="N220" s="612">
        <v>41576.0</v>
      </c>
      <c r="O220" s="529"/>
      <c r="P220" s="528" t="s">
        <v>4136</v>
      </c>
      <c r="Q220" s="527"/>
      <c r="R220" s="527"/>
      <c r="S220" s="527"/>
      <c r="T220" s="527"/>
      <c r="U220" s="527"/>
      <c r="V220" s="527"/>
      <c r="W220" s="527"/>
      <c r="X220" s="527"/>
      <c r="Y220" s="527"/>
      <c r="Z220" s="527"/>
      <c r="AA220" s="527"/>
    </row>
    <row r="221">
      <c r="B221" s="395" t="s">
        <v>3172</v>
      </c>
      <c r="C221" s="610" t="s">
        <v>4166</v>
      </c>
      <c r="D221" s="527"/>
      <c r="E221" s="527"/>
      <c r="F221" s="527"/>
      <c r="G221" s="527"/>
      <c r="H221" s="528" t="s">
        <v>4164</v>
      </c>
      <c r="I221" s="527"/>
      <c r="J221" s="529"/>
      <c r="K221" s="529"/>
      <c r="L221" s="529"/>
      <c r="M221" s="614"/>
      <c r="N221" s="613">
        <v>41576.0</v>
      </c>
      <c r="O221" s="529"/>
      <c r="P221" s="528" t="s">
        <v>4136</v>
      </c>
      <c r="Q221" s="527"/>
      <c r="R221" s="527"/>
      <c r="S221" s="527"/>
      <c r="T221" s="527"/>
      <c r="U221" s="527"/>
      <c r="V221" s="527"/>
      <c r="W221" s="527"/>
      <c r="X221" s="527"/>
      <c r="Y221" s="527"/>
      <c r="Z221" s="527"/>
      <c r="AA221" s="527"/>
    </row>
    <row r="222">
      <c r="B222" s="395" t="s">
        <v>3168</v>
      </c>
      <c r="C222" s="610" t="s">
        <v>4167</v>
      </c>
      <c r="D222" s="527"/>
      <c r="E222" s="527"/>
      <c r="F222" s="527"/>
      <c r="G222" s="527"/>
      <c r="H222" s="528" t="s">
        <v>4164</v>
      </c>
      <c r="I222" s="527"/>
      <c r="J222" s="529"/>
      <c r="K222" s="529"/>
      <c r="L222" s="529"/>
      <c r="M222" s="614"/>
      <c r="N222" s="612">
        <v>41576.0</v>
      </c>
      <c r="O222" s="529"/>
      <c r="P222" s="528" t="s">
        <v>4136</v>
      </c>
      <c r="Q222" s="527"/>
      <c r="R222" s="527"/>
      <c r="S222" s="527"/>
      <c r="T222" s="527"/>
      <c r="U222" s="527"/>
      <c r="V222" s="527"/>
      <c r="W222" s="527"/>
      <c r="X222" s="527"/>
      <c r="Y222" s="527"/>
      <c r="Z222" s="527"/>
      <c r="AA222" s="527"/>
    </row>
    <row r="223">
      <c r="B223" s="395" t="s">
        <v>3164</v>
      </c>
      <c r="C223" s="610" t="s">
        <v>4168</v>
      </c>
      <c r="D223" s="527"/>
      <c r="E223" s="527"/>
      <c r="F223" s="527"/>
      <c r="G223" s="527"/>
      <c r="H223" s="528" t="s">
        <v>3940</v>
      </c>
      <c r="I223" s="527"/>
      <c r="J223" s="529"/>
      <c r="K223" s="529"/>
      <c r="L223" s="529"/>
      <c r="M223" s="531">
        <v>41586.0</v>
      </c>
      <c r="N223" s="613">
        <v>41576.0</v>
      </c>
      <c r="O223" s="529">
        <f>M223-N223</f>
        <v>10</v>
      </c>
      <c r="P223" s="533" t="s">
        <v>4169</v>
      </c>
      <c r="Q223" s="527"/>
      <c r="R223" s="527"/>
      <c r="S223" s="527"/>
      <c r="T223" s="528">
        <v>544.0</v>
      </c>
      <c r="U223" s="528">
        <v>3733.0</v>
      </c>
      <c r="V223" s="527"/>
      <c r="W223" s="527"/>
      <c r="X223" s="527"/>
      <c r="Y223" s="527"/>
      <c r="Z223" s="527"/>
      <c r="AA223" s="527"/>
    </row>
    <row r="224">
      <c r="B224" s="395" t="s">
        <v>3160</v>
      </c>
      <c r="C224" s="610" t="s">
        <v>4170</v>
      </c>
      <c r="D224" s="527"/>
      <c r="E224" s="527"/>
      <c r="F224" s="527"/>
      <c r="G224" s="527"/>
      <c r="H224" s="528" t="s">
        <v>4164</v>
      </c>
      <c r="I224" s="527"/>
      <c r="J224" s="529"/>
      <c r="K224" s="529"/>
      <c r="L224" s="529"/>
      <c r="M224" s="614"/>
      <c r="N224" s="612">
        <v>41576.0</v>
      </c>
      <c r="O224" s="529"/>
      <c r="P224" s="528" t="s">
        <v>4136</v>
      </c>
      <c r="Q224" s="527"/>
      <c r="R224" s="527"/>
      <c r="S224" s="527"/>
      <c r="T224" s="527"/>
      <c r="U224" s="527"/>
      <c r="V224" s="527"/>
      <c r="W224" s="527"/>
      <c r="X224" s="527"/>
      <c r="Y224" s="527"/>
      <c r="Z224" s="527"/>
      <c r="AA224" s="527"/>
    </row>
    <row r="225">
      <c r="B225" s="395" t="s">
        <v>3156</v>
      </c>
      <c r="C225" s="610" t="s">
        <v>4171</v>
      </c>
      <c r="D225" s="528"/>
      <c r="E225" s="528" t="s">
        <v>3728</v>
      </c>
      <c r="F225" s="527"/>
      <c r="G225" s="527"/>
      <c r="H225" s="527"/>
      <c r="I225" s="527"/>
      <c r="J225" s="529"/>
      <c r="K225" s="529"/>
      <c r="L225" s="529"/>
      <c r="M225" s="531">
        <v>41603.0</v>
      </c>
      <c r="N225" s="613">
        <v>41576.0</v>
      </c>
      <c r="O225" s="529">
        <f t="shared" ref="O225:O240" si="6">M225-N225</f>
        <v>27</v>
      </c>
      <c r="P225" s="533" t="s">
        <v>4172</v>
      </c>
      <c r="Q225" s="527"/>
      <c r="R225" s="527"/>
      <c r="S225" s="527"/>
      <c r="T225" s="528">
        <v>6286.0</v>
      </c>
      <c r="U225" s="528">
        <v>863.0</v>
      </c>
      <c r="V225" s="527"/>
      <c r="W225" s="527"/>
      <c r="X225" s="527"/>
      <c r="Y225" s="527"/>
      <c r="Z225" s="527"/>
      <c r="AA225" s="527"/>
    </row>
    <row r="226">
      <c r="A226" s="616" t="s">
        <v>3061</v>
      </c>
      <c r="B226" s="406" t="s">
        <v>3145</v>
      </c>
      <c r="C226" s="535" t="s">
        <v>4173</v>
      </c>
      <c r="D226" s="536"/>
      <c r="E226" s="536"/>
      <c r="F226" s="537" t="s">
        <v>3728</v>
      </c>
      <c r="G226" s="536"/>
      <c r="H226" s="536"/>
      <c r="I226" s="536"/>
      <c r="J226" s="538"/>
      <c r="K226" s="538"/>
      <c r="L226" s="538"/>
      <c r="M226" s="540">
        <v>41625.0</v>
      </c>
      <c r="N226" s="541">
        <v>41612.0</v>
      </c>
      <c r="O226" s="538">
        <f t="shared" si="6"/>
        <v>13</v>
      </c>
      <c r="P226" s="542" t="s">
        <v>4174</v>
      </c>
      <c r="Q226" s="536"/>
      <c r="R226" s="536"/>
      <c r="S226" s="536"/>
      <c r="T226" s="537">
        <v>964.0</v>
      </c>
      <c r="U226" s="537">
        <v>92.0</v>
      </c>
      <c r="V226" s="536"/>
      <c r="W226" s="536"/>
      <c r="X226" s="536"/>
      <c r="Y226" s="536"/>
      <c r="Z226" s="536"/>
      <c r="AA226" s="536"/>
    </row>
    <row r="227">
      <c r="B227" s="406" t="s">
        <v>3139</v>
      </c>
      <c r="C227" s="518" t="s">
        <v>3140</v>
      </c>
      <c r="D227" s="536"/>
      <c r="E227" s="536"/>
      <c r="F227" s="536"/>
      <c r="G227" s="536"/>
      <c r="H227" s="537" t="s">
        <v>3940</v>
      </c>
      <c r="I227" s="536"/>
      <c r="J227" s="538"/>
      <c r="K227" s="538"/>
      <c r="L227" s="538"/>
      <c r="M227" s="540">
        <v>41624.0</v>
      </c>
      <c r="N227" s="541">
        <v>41612.0</v>
      </c>
      <c r="O227" s="538">
        <f t="shared" si="6"/>
        <v>12</v>
      </c>
      <c r="P227" s="542" t="s">
        <v>4175</v>
      </c>
      <c r="Q227" s="536"/>
      <c r="R227" s="536"/>
      <c r="S227" s="536"/>
      <c r="T227" s="537">
        <v>4393.0</v>
      </c>
      <c r="U227" s="537">
        <v>648.0</v>
      </c>
      <c r="V227" s="536"/>
      <c r="W227" s="536"/>
      <c r="X227" s="536"/>
      <c r="Y227" s="536"/>
      <c r="Z227" s="536"/>
      <c r="AA227" s="536"/>
    </row>
    <row r="228">
      <c r="B228" s="406" t="s">
        <v>3133</v>
      </c>
      <c r="C228" s="518" t="s">
        <v>3134</v>
      </c>
      <c r="D228" s="536"/>
      <c r="E228" s="536"/>
      <c r="F228" s="536"/>
      <c r="G228" s="537" t="s">
        <v>3728</v>
      </c>
      <c r="H228" s="536"/>
      <c r="I228" s="536"/>
      <c r="J228" s="538"/>
      <c r="K228" s="538"/>
      <c r="L228" s="538"/>
      <c r="M228" s="540">
        <v>41644.0</v>
      </c>
      <c r="N228" s="541">
        <v>41612.0</v>
      </c>
      <c r="O228" s="538">
        <f t="shared" si="6"/>
        <v>32</v>
      </c>
      <c r="P228" s="617" t="s">
        <v>4176</v>
      </c>
      <c r="Q228" s="536"/>
      <c r="R228" s="536"/>
      <c r="S228" s="536"/>
      <c r="T228" s="537">
        <v>31219.0</v>
      </c>
      <c r="U228" s="537">
        <v>149.0</v>
      </c>
      <c r="V228" s="536"/>
      <c r="W228" s="536"/>
      <c r="X228" s="536"/>
      <c r="Y228" s="536"/>
      <c r="Z228" s="536"/>
      <c r="AA228" s="536"/>
    </row>
    <row r="229">
      <c r="B229" s="406" t="s">
        <v>3127</v>
      </c>
      <c r="C229" s="518" t="s">
        <v>3128</v>
      </c>
      <c r="D229" s="536"/>
      <c r="E229" s="536"/>
      <c r="F229" s="536"/>
      <c r="G229" s="536"/>
      <c r="H229" s="537" t="s">
        <v>4177</v>
      </c>
      <c r="I229" s="537" t="s">
        <v>4178</v>
      </c>
      <c r="J229" s="538"/>
      <c r="K229" s="538"/>
      <c r="L229" s="538"/>
      <c r="M229" s="540">
        <v>41614.0</v>
      </c>
      <c r="N229" s="541">
        <v>41612.0</v>
      </c>
      <c r="O229" s="538">
        <f t="shared" si="6"/>
        <v>2</v>
      </c>
      <c r="P229" s="542" t="s">
        <v>4179</v>
      </c>
      <c r="Q229" s="536"/>
      <c r="R229" s="536"/>
      <c r="S229" s="536"/>
      <c r="T229" s="537">
        <v>468.0</v>
      </c>
      <c r="U229" s="537">
        <v>307.0</v>
      </c>
      <c r="V229" s="536"/>
      <c r="W229" s="536"/>
      <c r="X229" s="536"/>
      <c r="Y229" s="536"/>
      <c r="Z229" s="536"/>
      <c r="AA229" s="536"/>
    </row>
    <row r="230">
      <c r="B230" s="406" t="s">
        <v>3121</v>
      </c>
      <c r="C230" s="518" t="s">
        <v>3122</v>
      </c>
      <c r="D230" s="536"/>
      <c r="E230" s="536"/>
      <c r="F230" s="536"/>
      <c r="G230" s="537" t="s">
        <v>3728</v>
      </c>
      <c r="H230" s="536"/>
      <c r="I230" s="536"/>
      <c r="J230" s="538"/>
      <c r="K230" s="538"/>
      <c r="L230" s="538"/>
      <c r="M230" s="540">
        <v>41645.0</v>
      </c>
      <c r="N230" s="541">
        <v>41612.0</v>
      </c>
      <c r="O230" s="538">
        <f t="shared" si="6"/>
        <v>33</v>
      </c>
      <c r="P230" s="542" t="s">
        <v>4180</v>
      </c>
      <c r="Q230" s="536"/>
      <c r="R230" s="536"/>
      <c r="S230" s="536"/>
      <c r="T230" s="537">
        <v>720.0</v>
      </c>
      <c r="U230" s="537">
        <v>614.0</v>
      </c>
      <c r="V230" s="536"/>
      <c r="W230" s="536"/>
      <c r="X230" s="536"/>
      <c r="Y230" s="536"/>
      <c r="Z230" s="536"/>
      <c r="AA230" s="536"/>
    </row>
    <row r="231">
      <c r="B231" s="406" t="s">
        <v>3115</v>
      </c>
      <c r="C231" s="535" t="s">
        <v>4181</v>
      </c>
      <c r="D231" s="536"/>
      <c r="E231" s="536"/>
      <c r="F231" s="537" t="s">
        <v>4182</v>
      </c>
      <c r="G231" s="536"/>
      <c r="H231" s="536"/>
      <c r="I231" s="536"/>
      <c r="J231" s="538"/>
      <c r="K231" s="538"/>
      <c r="L231" s="538"/>
      <c r="M231" s="540">
        <v>41643.0</v>
      </c>
      <c r="N231" s="541">
        <v>41612.0</v>
      </c>
      <c r="O231" s="538">
        <f t="shared" si="6"/>
        <v>31</v>
      </c>
      <c r="P231" s="542" t="s">
        <v>4183</v>
      </c>
      <c r="Q231" s="536"/>
      <c r="R231" s="536"/>
      <c r="S231" s="536"/>
      <c r="T231" s="537">
        <v>12079.0</v>
      </c>
      <c r="U231" s="537">
        <v>466.0</v>
      </c>
      <c r="V231" s="536"/>
      <c r="W231" s="536"/>
      <c r="X231" s="536"/>
      <c r="Y231" s="536"/>
      <c r="Z231" s="536"/>
      <c r="AA231" s="536"/>
    </row>
    <row r="232">
      <c r="B232" s="408" t="s">
        <v>3109</v>
      </c>
      <c r="C232" s="535" t="s">
        <v>4184</v>
      </c>
      <c r="D232" s="537"/>
      <c r="E232" s="537" t="s">
        <v>4185</v>
      </c>
      <c r="F232" s="536"/>
      <c r="G232" s="536"/>
      <c r="H232" s="536"/>
      <c r="I232" s="536"/>
      <c r="J232" s="538"/>
      <c r="K232" s="538"/>
      <c r="L232" s="538"/>
      <c r="M232" s="540">
        <v>41670.0</v>
      </c>
      <c r="N232" s="541">
        <v>41612.0</v>
      </c>
      <c r="O232" s="538">
        <f t="shared" si="6"/>
        <v>58</v>
      </c>
      <c r="P232" s="542" t="s">
        <v>4186</v>
      </c>
      <c r="Q232" s="536"/>
      <c r="R232" s="536"/>
      <c r="S232" s="536"/>
      <c r="T232" s="537">
        <v>1166.0</v>
      </c>
      <c r="U232" s="537">
        <v>633.0</v>
      </c>
      <c r="V232" s="536"/>
      <c r="W232" s="536"/>
      <c r="X232" s="536"/>
      <c r="Y232" s="536"/>
      <c r="Z232" s="536"/>
      <c r="AA232" s="536"/>
    </row>
    <row r="233">
      <c r="B233" s="406" t="s">
        <v>3103</v>
      </c>
      <c r="C233" s="535" t="s">
        <v>4187</v>
      </c>
      <c r="D233" s="536"/>
      <c r="E233" s="536"/>
      <c r="F233" s="537" t="s">
        <v>3728</v>
      </c>
      <c r="G233" s="536"/>
      <c r="H233" s="536"/>
      <c r="I233" s="536"/>
      <c r="J233" s="538"/>
      <c r="K233" s="538"/>
      <c r="L233" s="538"/>
      <c r="M233" s="540">
        <v>41669.0</v>
      </c>
      <c r="N233" s="541">
        <v>41612.0</v>
      </c>
      <c r="O233" s="538">
        <f t="shared" si="6"/>
        <v>57</v>
      </c>
      <c r="P233" s="542" t="s">
        <v>4188</v>
      </c>
      <c r="Q233" s="536"/>
      <c r="R233" s="536"/>
      <c r="S233" s="536"/>
      <c r="T233" s="537">
        <v>1350.0</v>
      </c>
      <c r="U233" s="537">
        <v>292.0</v>
      </c>
      <c r="V233" s="536"/>
      <c r="W233" s="536"/>
      <c r="X233" s="536"/>
      <c r="Y233" s="536"/>
      <c r="Z233" s="536"/>
      <c r="AA233" s="536"/>
    </row>
    <row r="234">
      <c r="B234" s="406" t="s">
        <v>3097</v>
      </c>
      <c r="C234" s="535" t="s">
        <v>4189</v>
      </c>
      <c r="D234" s="536"/>
      <c r="E234" s="536"/>
      <c r="F234" s="536"/>
      <c r="G234" s="537" t="s">
        <v>3728</v>
      </c>
      <c r="H234" s="536"/>
      <c r="I234" s="536"/>
      <c r="J234" s="538"/>
      <c r="K234" s="538"/>
      <c r="L234" s="538"/>
      <c r="M234" s="540">
        <v>41625.0</v>
      </c>
      <c r="N234" s="541">
        <v>41612.0</v>
      </c>
      <c r="O234" s="538">
        <f t="shared" si="6"/>
        <v>13</v>
      </c>
      <c r="P234" s="542" t="s">
        <v>4190</v>
      </c>
      <c r="Q234" s="536"/>
      <c r="R234" s="536"/>
      <c r="S234" s="536"/>
      <c r="T234" s="537">
        <v>1.0</v>
      </c>
      <c r="U234" s="537">
        <v>9.0</v>
      </c>
      <c r="V234" s="536"/>
      <c r="W234" s="536"/>
      <c r="X234" s="536"/>
      <c r="Y234" s="536"/>
      <c r="Z234" s="536"/>
      <c r="AA234" s="536"/>
    </row>
    <row r="235">
      <c r="B235" s="406" t="s">
        <v>3091</v>
      </c>
      <c r="C235" s="518" t="s">
        <v>3092</v>
      </c>
      <c r="D235" s="536"/>
      <c r="E235" s="536"/>
      <c r="F235" s="536"/>
      <c r="G235" s="536"/>
      <c r="H235" s="537" t="s">
        <v>4191</v>
      </c>
      <c r="I235" s="536"/>
      <c r="J235" s="538"/>
      <c r="K235" s="538"/>
      <c r="L235" s="538"/>
      <c r="M235" s="540">
        <v>41643.0</v>
      </c>
      <c r="N235" s="541">
        <v>41612.0</v>
      </c>
      <c r="O235" s="538">
        <f t="shared" si="6"/>
        <v>31</v>
      </c>
      <c r="P235" s="542" t="s">
        <v>4192</v>
      </c>
      <c r="Q235" s="536"/>
      <c r="R235" s="536"/>
      <c r="S235" s="536"/>
      <c r="T235" s="537">
        <v>1195.0</v>
      </c>
      <c r="U235" s="537">
        <v>363.0</v>
      </c>
      <c r="V235" s="536"/>
      <c r="W235" s="536"/>
      <c r="X235" s="536"/>
      <c r="Y235" s="536"/>
      <c r="Z235" s="536"/>
      <c r="AA235" s="536"/>
    </row>
    <row r="236">
      <c r="B236" s="406" t="s">
        <v>3085</v>
      </c>
      <c r="C236" s="518" t="s">
        <v>3086</v>
      </c>
      <c r="D236" s="536"/>
      <c r="E236" s="536"/>
      <c r="F236" s="536"/>
      <c r="G236" s="537" t="s">
        <v>3728</v>
      </c>
      <c r="H236" s="536"/>
      <c r="I236" s="536"/>
      <c r="J236" s="538"/>
      <c r="K236" s="538"/>
      <c r="L236" s="538"/>
      <c r="M236" s="540">
        <v>41643.0</v>
      </c>
      <c r="N236" s="541">
        <v>41612.0</v>
      </c>
      <c r="O236" s="538">
        <f t="shared" si="6"/>
        <v>31</v>
      </c>
      <c r="P236" s="542" t="s">
        <v>4193</v>
      </c>
      <c r="Q236" s="536"/>
      <c r="R236" s="536"/>
      <c r="S236" s="536"/>
      <c r="T236" s="537">
        <v>546.0</v>
      </c>
      <c r="U236" s="537">
        <v>15.0</v>
      </c>
      <c r="V236" s="536"/>
      <c r="W236" s="536"/>
      <c r="X236" s="536"/>
      <c r="Y236" s="536"/>
      <c r="Z236" s="536"/>
      <c r="AA236" s="536"/>
    </row>
    <row r="237">
      <c r="B237" s="406" t="s">
        <v>3080</v>
      </c>
      <c r="C237" s="518" t="s">
        <v>631</v>
      </c>
      <c r="D237" s="536"/>
      <c r="E237" s="536"/>
      <c r="F237" s="536"/>
      <c r="G237" s="536"/>
      <c r="H237" s="537" t="s">
        <v>4194</v>
      </c>
      <c r="I237" s="536"/>
      <c r="J237" s="539" t="s">
        <v>3728</v>
      </c>
      <c r="K237" s="538"/>
      <c r="L237" s="538"/>
      <c r="M237" s="540">
        <v>41624.0</v>
      </c>
      <c r="N237" s="541">
        <v>41612.0</v>
      </c>
      <c r="O237" s="538">
        <f t="shared" si="6"/>
        <v>12</v>
      </c>
      <c r="P237" s="542" t="s">
        <v>4195</v>
      </c>
      <c r="Q237" s="536"/>
      <c r="R237" s="536"/>
      <c r="S237" s="536"/>
      <c r="T237" s="537">
        <v>7314.0</v>
      </c>
      <c r="U237" s="537">
        <v>7016.0</v>
      </c>
      <c r="V237" s="536"/>
      <c r="W237" s="536"/>
      <c r="X237" s="536"/>
      <c r="Y237" s="536"/>
      <c r="Z237" s="536"/>
      <c r="AA237" s="536"/>
    </row>
    <row r="238">
      <c r="B238" s="406" t="s">
        <v>3074</v>
      </c>
      <c r="C238" s="518" t="s">
        <v>3075</v>
      </c>
      <c r="D238" s="536"/>
      <c r="E238" s="536"/>
      <c r="F238" s="536"/>
      <c r="G238" s="537" t="s">
        <v>4196</v>
      </c>
      <c r="H238" s="536"/>
      <c r="I238" s="536"/>
      <c r="J238" s="538"/>
      <c r="K238" s="538"/>
      <c r="L238" s="538"/>
      <c r="M238" s="540">
        <v>41670.0</v>
      </c>
      <c r="N238" s="541">
        <v>41612.0</v>
      </c>
      <c r="O238" s="538">
        <f t="shared" si="6"/>
        <v>58</v>
      </c>
      <c r="P238" s="542" t="s">
        <v>4197</v>
      </c>
      <c r="Q238" s="536"/>
      <c r="R238" s="536"/>
      <c r="S238" s="536"/>
      <c r="T238" s="537">
        <v>24434.0</v>
      </c>
      <c r="U238" s="537">
        <v>1345.0</v>
      </c>
      <c r="V238" s="536"/>
      <c r="W238" s="536"/>
      <c r="X238" s="536"/>
      <c r="Y238" s="536"/>
      <c r="Z238" s="536"/>
      <c r="AA238" s="536"/>
    </row>
    <row r="239">
      <c r="B239" s="406" t="s">
        <v>3068</v>
      </c>
      <c r="C239" s="518" t="s">
        <v>3069</v>
      </c>
      <c r="D239" s="536"/>
      <c r="E239" s="536"/>
      <c r="F239" s="537" t="s">
        <v>3728</v>
      </c>
      <c r="G239" s="536"/>
      <c r="H239" s="536"/>
      <c r="I239" s="536"/>
      <c r="J239" s="538"/>
      <c r="K239" s="538"/>
      <c r="L239" s="538"/>
      <c r="M239" s="540">
        <v>41625.0</v>
      </c>
      <c r="N239" s="541">
        <v>41612.0</v>
      </c>
      <c r="O239" s="538">
        <f t="shared" si="6"/>
        <v>13</v>
      </c>
      <c r="P239" s="542" t="s">
        <v>4198</v>
      </c>
      <c r="Q239" s="536"/>
      <c r="R239" s="536"/>
      <c r="S239" s="536"/>
      <c r="T239" s="537">
        <v>2860.0</v>
      </c>
      <c r="U239" s="537">
        <v>89.0</v>
      </c>
      <c r="V239" s="536"/>
      <c r="W239" s="536"/>
      <c r="X239" s="536"/>
      <c r="Y239" s="536"/>
      <c r="Z239" s="536"/>
      <c r="AA239" s="536"/>
    </row>
    <row r="240">
      <c r="B240" s="406" t="s">
        <v>3062</v>
      </c>
      <c r="C240" s="518" t="s">
        <v>3063</v>
      </c>
      <c r="D240" s="536"/>
      <c r="E240" s="536"/>
      <c r="F240" s="536"/>
      <c r="G240" s="537" t="s">
        <v>3728</v>
      </c>
      <c r="H240" s="536"/>
      <c r="I240" s="536"/>
      <c r="J240" s="538"/>
      <c r="K240" s="538"/>
      <c r="L240" s="538"/>
      <c r="M240" s="540">
        <v>41625.0</v>
      </c>
      <c r="N240" s="541">
        <v>41612.0</v>
      </c>
      <c r="O240" s="538">
        <f t="shared" si="6"/>
        <v>13</v>
      </c>
      <c r="P240" s="542" t="s">
        <v>4199</v>
      </c>
      <c r="Q240" s="536"/>
      <c r="R240" s="536"/>
      <c r="S240" s="536"/>
      <c r="T240" s="537">
        <v>3389.0</v>
      </c>
      <c r="U240" s="537">
        <v>3371.0</v>
      </c>
      <c r="V240" s="536"/>
      <c r="W240" s="536"/>
      <c r="X240" s="536"/>
      <c r="Y240" s="536"/>
      <c r="Z240" s="536"/>
      <c r="AA240" s="536"/>
    </row>
    <row r="241">
      <c r="A241" s="595" t="s">
        <v>3258</v>
      </c>
      <c r="B241" s="379" t="s">
        <v>3273</v>
      </c>
      <c r="C241" s="596" t="s">
        <v>4200</v>
      </c>
      <c r="D241" s="597"/>
      <c r="E241" s="597"/>
      <c r="F241" s="597"/>
      <c r="G241" s="597"/>
      <c r="H241" s="598" t="s">
        <v>4164</v>
      </c>
      <c r="I241" s="597"/>
      <c r="J241" s="600"/>
      <c r="K241" s="600"/>
      <c r="L241" s="600"/>
      <c r="M241" s="607"/>
      <c r="N241" s="618">
        <v>41353.0</v>
      </c>
      <c r="O241" s="600"/>
      <c r="P241" s="608" t="s">
        <v>4136</v>
      </c>
      <c r="Q241" s="597"/>
      <c r="R241" s="597"/>
      <c r="S241" s="597"/>
      <c r="T241" s="597"/>
      <c r="U241" s="597"/>
      <c r="V241" s="597"/>
      <c r="W241" s="597"/>
      <c r="X241" s="597"/>
      <c r="Y241" s="597"/>
      <c r="Z241" s="597"/>
      <c r="AA241" s="597"/>
    </row>
    <row r="242">
      <c r="B242" s="379" t="s">
        <v>3270</v>
      </c>
      <c r="C242" s="596" t="s">
        <v>4201</v>
      </c>
      <c r="D242" s="597"/>
      <c r="E242" s="597"/>
      <c r="F242" s="598" t="s">
        <v>3728</v>
      </c>
      <c r="G242" s="598"/>
      <c r="H242" s="597"/>
      <c r="I242" s="597"/>
      <c r="J242" s="600"/>
      <c r="K242" s="600"/>
      <c r="L242" s="600"/>
      <c r="M242" s="601">
        <v>41388.0</v>
      </c>
      <c r="N242" s="618">
        <v>41353.0</v>
      </c>
      <c r="O242" s="600">
        <f t="shared" ref="O242:O244" si="7">M242-N242</f>
        <v>35</v>
      </c>
      <c r="P242" s="603" t="s">
        <v>4202</v>
      </c>
      <c r="Q242" s="597"/>
      <c r="R242" s="597"/>
      <c r="S242" s="597"/>
      <c r="T242" s="598">
        <v>154.0</v>
      </c>
      <c r="U242" s="598">
        <v>0.0</v>
      </c>
      <c r="V242" s="597"/>
      <c r="W242" s="597"/>
      <c r="X242" s="597"/>
      <c r="Y242" s="597"/>
      <c r="Z242" s="597"/>
      <c r="AA242" s="597"/>
    </row>
    <row r="243">
      <c r="B243" s="379" t="s">
        <v>3267</v>
      </c>
      <c r="C243" s="596" t="s">
        <v>4203</v>
      </c>
      <c r="D243" s="597"/>
      <c r="E243" s="597"/>
      <c r="F243" s="597"/>
      <c r="G243" s="597"/>
      <c r="H243" s="598" t="s">
        <v>4204</v>
      </c>
      <c r="I243" s="597"/>
      <c r="J243" s="600"/>
      <c r="K243" s="600"/>
      <c r="L243" s="600"/>
      <c r="M243" s="601">
        <v>41878.0</v>
      </c>
      <c r="N243" s="618">
        <v>41353.0</v>
      </c>
      <c r="O243" s="600">
        <f t="shared" si="7"/>
        <v>525</v>
      </c>
      <c r="P243" s="603" t="s">
        <v>4205</v>
      </c>
      <c r="Q243" s="597"/>
      <c r="R243" s="597"/>
      <c r="S243" s="597"/>
      <c r="T243" s="598">
        <v>327.0</v>
      </c>
      <c r="U243" s="598">
        <v>48.0</v>
      </c>
      <c r="V243" s="597"/>
      <c r="W243" s="597"/>
      <c r="X243" s="597"/>
      <c r="Y243" s="597"/>
      <c r="Z243" s="597"/>
      <c r="AA243" s="597"/>
    </row>
    <row r="244">
      <c r="B244" s="379" t="s">
        <v>3264</v>
      </c>
      <c r="C244" s="596" t="s">
        <v>4206</v>
      </c>
      <c r="D244" s="597"/>
      <c r="E244" s="597"/>
      <c r="F244" s="598" t="s">
        <v>3728</v>
      </c>
      <c r="G244" s="597"/>
      <c r="H244" s="597"/>
      <c r="I244" s="597"/>
      <c r="J244" s="600"/>
      <c r="K244" s="600"/>
      <c r="L244" s="599" t="s">
        <v>3728</v>
      </c>
      <c r="M244" s="601">
        <v>41352.0</v>
      </c>
      <c r="N244" s="618">
        <v>41353.0</v>
      </c>
      <c r="O244" s="600">
        <f t="shared" si="7"/>
        <v>-1</v>
      </c>
      <c r="P244" s="603" t="s">
        <v>4207</v>
      </c>
      <c r="Q244" s="597"/>
      <c r="R244" s="597"/>
      <c r="S244" s="597"/>
      <c r="T244" s="598">
        <v>29.0</v>
      </c>
      <c r="U244" s="598">
        <v>20.0</v>
      </c>
      <c r="V244" s="597"/>
      <c r="W244" s="597"/>
      <c r="X244" s="597"/>
      <c r="Y244" s="597"/>
      <c r="Z244" s="597"/>
      <c r="AA244" s="597"/>
    </row>
    <row r="245">
      <c r="B245" s="379" t="s">
        <v>3259</v>
      </c>
      <c r="C245" s="596" t="s">
        <v>4208</v>
      </c>
      <c r="D245" s="597"/>
      <c r="E245" s="597"/>
      <c r="F245" s="597"/>
      <c r="G245" s="597"/>
      <c r="H245" s="598" t="s">
        <v>4164</v>
      </c>
      <c r="I245" s="597"/>
      <c r="J245" s="600"/>
      <c r="K245" s="600"/>
      <c r="L245" s="600"/>
      <c r="M245" s="607"/>
      <c r="N245" s="618">
        <v>41353.0</v>
      </c>
      <c r="O245" s="600"/>
      <c r="P245" s="608" t="s">
        <v>4136</v>
      </c>
      <c r="Q245" s="597"/>
      <c r="R245" s="597"/>
      <c r="S245" s="597"/>
      <c r="T245" s="597"/>
      <c r="U245" s="597"/>
      <c r="V245" s="597"/>
      <c r="W245" s="597"/>
      <c r="X245" s="597"/>
      <c r="Y245" s="597"/>
      <c r="Z245" s="597"/>
      <c r="AA245" s="597"/>
    </row>
    <row r="246">
      <c r="A246" s="619" t="s">
        <v>3219</v>
      </c>
      <c r="B246" s="414" t="s">
        <v>3240</v>
      </c>
      <c r="C246" s="620" t="s">
        <v>4209</v>
      </c>
      <c r="D246" s="621"/>
      <c r="E246" s="621"/>
      <c r="F246" s="621"/>
      <c r="G246" s="621"/>
      <c r="H246" s="622" t="s">
        <v>3924</v>
      </c>
      <c r="I246" s="622" t="s">
        <v>4210</v>
      </c>
      <c r="J246" s="623"/>
      <c r="K246" s="623"/>
      <c r="L246" s="623"/>
      <c r="M246" s="624">
        <v>41413.0</v>
      </c>
      <c r="N246" s="625">
        <v>41387.0</v>
      </c>
      <c r="O246" s="623">
        <f t="shared" ref="O246:O250" si="8">M246-N246</f>
        <v>26</v>
      </c>
      <c r="P246" s="626" t="s">
        <v>4211</v>
      </c>
      <c r="Q246" s="621"/>
      <c r="R246" s="621"/>
      <c r="S246" s="621"/>
      <c r="T246" s="622">
        <v>468.0</v>
      </c>
      <c r="U246" s="622">
        <v>38.0</v>
      </c>
      <c r="V246" s="621"/>
      <c r="W246" s="621"/>
      <c r="X246" s="621"/>
      <c r="Y246" s="621"/>
      <c r="Z246" s="621"/>
      <c r="AA246" s="621"/>
    </row>
    <row r="247">
      <c r="B247" s="414" t="s">
        <v>3234</v>
      </c>
      <c r="C247" s="620" t="s">
        <v>4212</v>
      </c>
      <c r="D247" s="621"/>
      <c r="E247" s="621"/>
      <c r="F247" s="622" t="s">
        <v>3728</v>
      </c>
      <c r="G247" s="621"/>
      <c r="H247" s="621"/>
      <c r="I247" s="621"/>
      <c r="J247" s="623"/>
      <c r="K247" s="623"/>
      <c r="L247" s="623"/>
      <c r="M247" s="624">
        <v>41389.0</v>
      </c>
      <c r="N247" s="625">
        <v>41387.0</v>
      </c>
      <c r="O247" s="623">
        <f t="shared" si="8"/>
        <v>2</v>
      </c>
      <c r="P247" s="626" t="s">
        <v>4213</v>
      </c>
      <c r="Q247" s="621"/>
      <c r="R247" s="621"/>
      <c r="S247" s="621"/>
      <c r="T247" s="622">
        <v>135.0</v>
      </c>
      <c r="U247" s="622">
        <v>134.0</v>
      </c>
      <c r="V247" s="621"/>
      <c r="W247" s="621"/>
      <c r="X247" s="621"/>
      <c r="Y247" s="621"/>
      <c r="Z247" s="621"/>
      <c r="AA247" s="621"/>
    </row>
    <row r="248">
      <c r="B248" s="414" t="s">
        <v>3226</v>
      </c>
      <c r="C248" s="620" t="s">
        <v>4214</v>
      </c>
      <c r="D248" s="621"/>
      <c r="E248" s="621"/>
      <c r="F248" s="622" t="s">
        <v>4215</v>
      </c>
      <c r="G248" s="621"/>
      <c r="H248" s="621"/>
      <c r="I248" s="621"/>
      <c r="J248" s="623"/>
      <c r="K248" s="623"/>
      <c r="L248" s="623"/>
      <c r="M248" s="624">
        <v>41388.0</v>
      </c>
      <c r="N248" s="625">
        <v>41387.0</v>
      </c>
      <c r="O248" s="623">
        <f t="shared" si="8"/>
        <v>1</v>
      </c>
      <c r="P248" s="626" t="s">
        <v>4216</v>
      </c>
      <c r="Q248" s="621"/>
      <c r="R248" s="621"/>
      <c r="S248" s="621"/>
      <c r="T248" s="622">
        <v>2048.0</v>
      </c>
      <c r="U248" s="622">
        <v>1304.0</v>
      </c>
      <c r="V248" s="621"/>
      <c r="W248" s="621"/>
      <c r="X248" s="621"/>
      <c r="Y248" s="621"/>
      <c r="Z248" s="621"/>
      <c r="AA248" s="621"/>
    </row>
    <row r="249">
      <c r="B249" s="414" t="s">
        <v>3220</v>
      </c>
      <c r="C249" s="620" t="s">
        <v>4217</v>
      </c>
      <c r="D249" s="621"/>
      <c r="E249" s="621"/>
      <c r="F249" s="621"/>
      <c r="G249" s="622" t="s">
        <v>3728</v>
      </c>
      <c r="H249" s="622" t="s">
        <v>4218</v>
      </c>
      <c r="I249" s="621"/>
      <c r="J249" s="623"/>
      <c r="K249" s="623"/>
      <c r="L249" s="623"/>
      <c r="M249" s="624">
        <v>41644.0</v>
      </c>
      <c r="N249" s="625">
        <v>41387.0</v>
      </c>
      <c r="O249" s="623">
        <f t="shared" si="8"/>
        <v>257</v>
      </c>
      <c r="P249" s="626" t="s">
        <v>4219</v>
      </c>
      <c r="Q249" s="621"/>
      <c r="R249" s="621"/>
      <c r="S249" s="621"/>
      <c r="T249" s="622">
        <v>573.0</v>
      </c>
      <c r="U249" s="622">
        <v>219.0</v>
      </c>
      <c r="V249" s="621"/>
      <c r="W249" s="621"/>
      <c r="X249" s="621"/>
      <c r="Y249" s="621"/>
      <c r="Z249" s="621"/>
      <c r="AA249" s="621"/>
    </row>
    <row r="250">
      <c r="A250" s="562" t="s">
        <v>3387</v>
      </c>
      <c r="B250" s="341" t="s">
        <v>3525</v>
      </c>
      <c r="C250" s="563" t="s">
        <v>4220</v>
      </c>
      <c r="D250" s="564"/>
      <c r="E250" s="564"/>
      <c r="F250" s="564"/>
      <c r="G250" s="564"/>
      <c r="H250" s="438"/>
      <c r="I250" s="564"/>
      <c r="J250" s="569" t="s">
        <v>3728</v>
      </c>
      <c r="K250" s="565"/>
      <c r="L250" s="565"/>
      <c r="M250" s="566">
        <v>41878.0</v>
      </c>
      <c r="N250" s="627">
        <v>41213.0</v>
      </c>
      <c r="O250" s="565">
        <f t="shared" si="8"/>
        <v>665</v>
      </c>
      <c r="P250" s="568" t="s">
        <v>4221</v>
      </c>
      <c r="Q250" s="564"/>
      <c r="R250" s="564"/>
      <c r="S250" s="564"/>
      <c r="T250" s="438">
        <v>1951.0</v>
      </c>
      <c r="U250" s="438">
        <v>186.0</v>
      </c>
      <c r="V250" s="564"/>
      <c r="W250" s="564"/>
      <c r="X250" s="564"/>
      <c r="Y250" s="564"/>
      <c r="Z250" s="564"/>
      <c r="AA250" s="564"/>
    </row>
    <row r="251">
      <c r="B251" s="341" t="s">
        <v>3521</v>
      </c>
      <c r="C251" s="563" t="s">
        <v>4222</v>
      </c>
      <c r="D251" s="564"/>
      <c r="E251" s="564"/>
      <c r="F251" s="564"/>
      <c r="G251" s="564"/>
      <c r="H251" s="438" t="s">
        <v>4135</v>
      </c>
      <c r="I251" s="564"/>
      <c r="J251" s="565"/>
      <c r="K251" s="565"/>
      <c r="L251" s="565"/>
      <c r="M251" s="628"/>
      <c r="N251" s="627">
        <v>41213.0</v>
      </c>
      <c r="O251" s="565"/>
      <c r="P251" s="438" t="s">
        <v>4136</v>
      </c>
      <c r="Q251" s="564"/>
      <c r="R251" s="564"/>
      <c r="S251" s="564"/>
      <c r="T251" s="564"/>
      <c r="U251" s="564"/>
      <c r="V251" s="564"/>
      <c r="W251" s="564"/>
      <c r="X251" s="564"/>
      <c r="Y251" s="564"/>
      <c r="Z251" s="564"/>
      <c r="AA251" s="564"/>
    </row>
    <row r="252">
      <c r="B252" s="341" t="s">
        <v>3517</v>
      </c>
      <c r="C252" s="563" t="s">
        <v>4223</v>
      </c>
      <c r="D252" s="564"/>
      <c r="E252" s="564"/>
      <c r="F252" s="564"/>
      <c r="G252" s="564"/>
      <c r="H252" s="438" t="s">
        <v>4135</v>
      </c>
      <c r="I252" s="564"/>
      <c r="J252" s="565"/>
      <c r="K252" s="565"/>
      <c r="L252" s="565"/>
      <c r="M252" s="628"/>
      <c r="N252" s="627">
        <v>41213.0</v>
      </c>
      <c r="O252" s="565"/>
      <c r="P252" s="438" t="s">
        <v>4136</v>
      </c>
      <c r="Q252" s="564"/>
      <c r="R252" s="564"/>
      <c r="S252" s="564"/>
      <c r="T252" s="564"/>
      <c r="U252" s="564"/>
      <c r="V252" s="564"/>
      <c r="W252" s="564"/>
      <c r="X252" s="564"/>
      <c r="Y252" s="564"/>
      <c r="Z252" s="564"/>
      <c r="AA252" s="564"/>
    </row>
    <row r="253">
      <c r="B253" s="341" t="s">
        <v>3513</v>
      </c>
      <c r="C253" s="563" t="s">
        <v>4224</v>
      </c>
      <c r="D253" s="564"/>
      <c r="E253" s="564"/>
      <c r="F253" s="564"/>
      <c r="G253" s="564"/>
      <c r="H253" s="438" t="s">
        <v>4135</v>
      </c>
      <c r="I253" s="564"/>
      <c r="J253" s="565"/>
      <c r="K253" s="565"/>
      <c r="L253" s="565"/>
      <c r="M253" s="628"/>
      <c r="N253" s="627">
        <v>41213.0</v>
      </c>
      <c r="O253" s="565"/>
      <c r="P253" s="438" t="s">
        <v>4136</v>
      </c>
      <c r="Q253" s="564"/>
      <c r="R253" s="564"/>
      <c r="S253" s="564"/>
      <c r="T253" s="564"/>
      <c r="U253" s="564"/>
      <c r="V253" s="564"/>
      <c r="W253" s="564"/>
      <c r="X253" s="564"/>
      <c r="Y253" s="564"/>
      <c r="Z253" s="564"/>
      <c r="AA253" s="564"/>
    </row>
    <row r="254">
      <c r="B254" s="343" t="s">
        <v>4225</v>
      </c>
      <c r="C254" s="563" t="s">
        <v>4226</v>
      </c>
      <c r="D254" s="564"/>
      <c r="E254" s="564"/>
      <c r="F254" s="564"/>
      <c r="G254" s="564"/>
      <c r="H254" s="438" t="s">
        <v>4135</v>
      </c>
      <c r="I254" s="564"/>
      <c r="J254" s="565"/>
      <c r="K254" s="565"/>
      <c r="L254" s="565"/>
      <c r="M254" s="628"/>
      <c r="N254" s="627">
        <v>41213.0</v>
      </c>
      <c r="O254" s="565"/>
      <c r="P254" s="438" t="s">
        <v>4136</v>
      </c>
      <c r="Q254" s="564"/>
      <c r="R254" s="564"/>
      <c r="S254" s="564"/>
      <c r="T254" s="564"/>
      <c r="U254" s="564"/>
      <c r="V254" s="564"/>
      <c r="W254" s="564"/>
      <c r="X254" s="564"/>
      <c r="Y254" s="564"/>
      <c r="Z254" s="564"/>
      <c r="AA254" s="564"/>
    </row>
    <row r="255">
      <c r="B255" s="341" t="s">
        <v>3505</v>
      </c>
      <c r="C255" s="563" t="s">
        <v>4227</v>
      </c>
      <c r="D255" s="564"/>
      <c r="E255" s="564"/>
      <c r="F255" s="564"/>
      <c r="G255" s="564"/>
      <c r="H255" s="438" t="s">
        <v>4135</v>
      </c>
      <c r="I255" s="564"/>
      <c r="J255" s="565"/>
      <c r="K255" s="565"/>
      <c r="L255" s="565"/>
      <c r="M255" s="628"/>
      <c r="N255" s="627">
        <v>41213.0</v>
      </c>
      <c r="O255" s="565"/>
      <c r="P255" s="438" t="s">
        <v>4136</v>
      </c>
      <c r="Q255" s="564"/>
      <c r="R255" s="564"/>
      <c r="S255" s="564"/>
      <c r="T255" s="564"/>
      <c r="U255" s="564"/>
      <c r="V255" s="564"/>
      <c r="W255" s="564"/>
      <c r="X255" s="564"/>
      <c r="Y255" s="564"/>
      <c r="Z255" s="564"/>
      <c r="AA255" s="564"/>
    </row>
    <row r="256">
      <c r="B256" s="341" t="s">
        <v>3270</v>
      </c>
      <c r="C256" s="563" t="s">
        <v>4201</v>
      </c>
      <c r="D256" s="564"/>
      <c r="E256" s="564"/>
      <c r="F256" s="564"/>
      <c r="G256" s="438" t="s">
        <v>3728</v>
      </c>
      <c r="H256" s="564"/>
      <c r="I256" s="564"/>
      <c r="J256" s="565"/>
      <c r="K256" s="565"/>
      <c r="L256" s="565"/>
      <c r="M256" s="566">
        <v>41389.0</v>
      </c>
      <c r="N256" s="627">
        <v>41213.0</v>
      </c>
      <c r="O256" s="565">
        <f>M256-N256</f>
        <v>176</v>
      </c>
      <c r="P256" s="568" t="s">
        <v>4228</v>
      </c>
      <c r="Q256" s="564"/>
      <c r="R256" s="564"/>
      <c r="S256" s="564"/>
      <c r="T256" s="438">
        <v>8.0</v>
      </c>
      <c r="U256" s="438">
        <v>9.0</v>
      </c>
      <c r="V256" s="564"/>
      <c r="W256" s="564"/>
      <c r="X256" s="564"/>
      <c r="Y256" s="564"/>
      <c r="Z256" s="564"/>
      <c r="AA256" s="564"/>
    </row>
    <row r="257">
      <c r="B257" s="341" t="s">
        <v>3497</v>
      </c>
      <c r="C257" s="563" t="s">
        <v>4229</v>
      </c>
      <c r="D257" s="564"/>
      <c r="E257" s="564"/>
      <c r="F257" s="564"/>
      <c r="G257" s="564"/>
      <c r="H257" s="438" t="s">
        <v>4135</v>
      </c>
      <c r="I257" s="564"/>
      <c r="J257" s="565"/>
      <c r="K257" s="565"/>
      <c r="L257" s="565"/>
      <c r="M257" s="628"/>
      <c r="N257" s="627">
        <v>41213.0</v>
      </c>
      <c r="O257" s="565"/>
      <c r="P257" s="438" t="s">
        <v>4136</v>
      </c>
      <c r="Q257" s="564"/>
      <c r="R257" s="564"/>
      <c r="S257" s="564"/>
      <c r="T257" s="564"/>
      <c r="U257" s="564"/>
      <c r="V257" s="564"/>
      <c r="W257" s="564"/>
      <c r="X257" s="564"/>
      <c r="Y257" s="564"/>
      <c r="Z257" s="564"/>
      <c r="AA257" s="564"/>
    </row>
    <row r="258">
      <c r="B258" s="341" t="s">
        <v>3493</v>
      </c>
      <c r="C258" s="563" t="s">
        <v>4230</v>
      </c>
      <c r="D258" s="438"/>
      <c r="E258" s="438" t="s">
        <v>3728</v>
      </c>
      <c r="F258" s="564"/>
      <c r="G258" s="564"/>
      <c r="H258" s="564"/>
      <c r="I258" s="564"/>
      <c r="J258" s="565"/>
      <c r="K258" s="565"/>
      <c r="L258" s="565"/>
      <c r="M258" s="566">
        <v>41266.0</v>
      </c>
      <c r="N258" s="627">
        <v>41213.0</v>
      </c>
      <c r="O258" s="565">
        <f t="shared" ref="O258:O259" si="9">M258-N258</f>
        <v>53</v>
      </c>
      <c r="P258" s="438" t="s">
        <v>4136</v>
      </c>
      <c r="Q258" s="564"/>
      <c r="R258" s="564"/>
      <c r="S258" s="564"/>
      <c r="T258" s="564"/>
      <c r="U258" s="564"/>
      <c r="V258" s="564"/>
      <c r="W258" s="564"/>
      <c r="X258" s="564"/>
      <c r="Y258" s="564"/>
      <c r="Z258" s="564"/>
      <c r="AA258" s="564"/>
    </row>
    <row r="259">
      <c r="B259" s="341" t="s">
        <v>3489</v>
      </c>
      <c r="C259" s="563" t="s">
        <v>4231</v>
      </c>
      <c r="D259" s="438"/>
      <c r="E259" s="438" t="s">
        <v>3728</v>
      </c>
      <c r="F259" s="564"/>
      <c r="G259" s="564"/>
      <c r="H259" s="564"/>
      <c r="I259" s="564"/>
      <c r="J259" s="565"/>
      <c r="K259" s="565"/>
      <c r="L259" s="565"/>
      <c r="M259" s="566">
        <v>41266.0</v>
      </c>
      <c r="N259" s="627">
        <v>41213.0</v>
      </c>
      <c r="O259" s="565">
        <f t="shared" si="9"/>
        <v>53</v>
      </c>
      <c r="P259" s="438" t="s">
        <v>4136</v>
      </c>
      <c r="Q259" s="564"/>
      <c r="R259" s="564"/>
      <c r="S259" s="564"/>
      <c r="T259" s="564"/>
      <c r="U259" s="564"/>
      <c r="V259" s="564"/>
      <c r="W259" s="564"/>
      <c r="X259" s="564"/>
      <c r="Y259" s="564"/>
      <c r="Z259" s="564"/>
      <c r="AA259" s="564"/>
    </row>
    <row r="260">
      <c r="B260" s="341" t="s">
        <v>3264</v>
      </c>
      <c r="C260" s="563" t="s">
        <v>4232</v>
      </c>
      <c r="D260" s="564"/>
      <c r="E260" s="564"/>
      <c r="F260" s="564"/>
      <c r="G260" s="564"/>
      <c r="H260" s="438" t="s">
        <v>4135</v>
      </c>
      <c r="I260" s="564"/>
      <c r="J260" s="565"/>
      <c r="K260" s="565"/>
      <c r="L260" s="565"/>
      <c r="M260" s="628"/>
      <c r="N260" s="627">
        <v>41213.0</v>
      </c>
      <c r="O260" s="565"/>
      <c r="P260" s="341" t="s">
        <v>4136</v>
      </c>
      <c r="Q260" s="564"/>
      <c r="R260" s="564"/>
      <c r="S260" s="564"/>
      <c r="T260" s="564"/>
      <c r="U260" s="564"/>
      <c r="V260" s="564"/>
      <c r="W260" s="564"/>
      <c r="X260" s="564"/>
      <c r="Y260" s="564"/>
      <c r="Z260" s="564"/>
      <c r="AA260" s="564"/>
    </row>
    <row r="261">
      <c r="B261" s="341" t="s">
        <v>3482</v>
      </c>
      <c r="C261" s="563" t="s">
        <v>4233</v>
      </c>
      <c r="D261" s="564"/>
      <c r="E261" s="564"/>
      <c r="F261" s="564"/>
      <c r="G261" s="564"/>
      <c r="H261" s="438" t="s">
        <v>4135</v>
      </c>
      <c r="I261" s="564"/>
      <c r="J261" s="565"/>
      <c r="K261" s="565"/>
      <c r="L261" s="565"/>
      <c r="M261" s="628"/>
      <c r="N261" s="627">
        <v>41213.0</v>
      </c>
      <c r="O261" s="565"/>
      <c r="P261" s="341" t="s">
        <v>4136</v>
      </c>
      <c r="Q261" s="564"/>
      <c r="R261" s="564"/>
      <c r="S261" s="564"/>
      <c r="T261" s="564"/>
      <c r="U261" s="564"/>
      <c r="V261" s="564"/>
      <c r="W261" s="564"/>
      <c r="X261" s="564"/>
      <c r="Y261" s="564"/>
      <c r="Z261" s="564"/>
      <c r="AA261" s="564"/>
    </row>
    <row r="262">
      <c r="B262" s="341" t="s">
        <v>3478</v>
      </c>
      <c r="C262" s="563" t="s">
        <v>4234</v>
      </c>
      <c r="D262" s="564"/>
      <c r="E262" s="564"/>
      <c r="F262" s="564"/>
      <c r="G262" s="564"/>
      <c r="H262" s="438" t="s">
        <v>4135</v>
      </c>
      <c r="I262" s="564"/>
      <c r="J262" s="565"/>
      <c r="K262" s="565"/>
      <c r="L262" s="565"/>
      <c r="M262" s="628"/>
      <c r="N262" s="627">
        <v>41213.0</v>
      </c>
      <c r="O262" s="565"/>
      <c r="P262" s="341" t="s">
        <v>4136</v>
      </c>
      <c r="Q262" s="564"/>
      <c r="R262" s="564"/>
      <c r="S262" s="564"/>
      <c r="T262" s="564"/>
      <c r="U262" s="564"/>
      <c r="V262" s="564"/>
      <c r="W262" s="564"/>
      <c r="X262" s="564"/>
      <c r="Y262" s="564"/>
      <c r="Z262" s="564"/>
      <c r="AA262" s="564"/>
    </row>
    <row r="263">
      <c r="B263" s="341" t="s">
        <v>3474</v>
      </c>
      <c r="C263" s="563" t="s">
        <v>4235</v>
      </c>
      <c r="D263" s="438"/>
      <c r="E263" s="438" t="s">
        <v>3728</v>
      </c>
      <c r="F263" s="564"/>
      <c r="G263" s="564"/>
      <c r="H263" s="438" t="s">
        <v>4135</v>
      </c>
      <c r="I263" s="564"/>
      <c r="J263" s="565"/>
      <c r="K263" s="565"/>
      <c r="L263" s="565"/>
      <c r="M263" s="566">
        <v>41266.0</v>
      </c>
      <c r="N263" s="627">
        <v>41213.0</v>
      </c>
      <c r="O263" s="565">
        <f>M263-N263</f>
        <v>53</v>
      </c>
      <c r="P263" s="438" t="s">
        <v>4136</v>
      </c>
      <c r="Q263" s="564"/>
      <c r="R263" s="564"/>
      <c r="S263" s="564"/>
      <c r="T263" s="564"/>
      <c r="U263" s="564"/>
      <c r="V263" s="564"/>
      <c r="W263" s="564"/>
      <c r="X263" s="564"/>
      <c r="Y263" s="564"/>
      <c r="Z263" s="564"/>
      <c r="AA263" s="564"/>
    </row>
    <row r="264">
      <c r="B264" s="341" t="s">
        <v>3470</v>
      </c>
      <c r="C264" s="563" t="s">
        <v>4236</v>
      </c>
      <c r="D264" s="564"/>
      <c r="E264" s="564"/>
      <c r="F264" s="564"/>
      <c r="G264" s="564"/>
      <c r="H264" s="438" t="s">
        <v>4135</v>
      </c>
      <c r="I264" s="564"/>
      <c r="J264" s="565"/>
      <c r="K264" s="565"/>
      <c r="L264" s="565"/>
      <c r="M264" s="628"/>
      <c r="N264" s="627">
        <v>41213.0</v>
      </c>
      <c r="O264" s="565"/>
      <c r="P264" s="341" t="s">
        <v>4136</v>
      </c>
      <c r="Q264" s="564"/>
      <c r="R264" s="564"/>
      <c r="S264" s="564"/>
      <c r="T264" s="564"/>
      <c r="U264" s="564"/>
      <c r="V264" s="564"/>
      <c r="W264" s="564"/>
      <c r="X264" s="564"/>
      <c r="Y264" s="564"/>
      <c r="Z264" s="564"/>
      <c r="AA264" s="564"/>
    </row>
    <row r="265">
      <c r="B265" s="341" t="s">
        <v>3466</v>
      </c>
      <c r="C265" s="563" t="s">
        <v>4237</v>
      </c>
      <c r="D265" s="564"/>
      <c r="E265" s="564"/>
      <c r="F265" s="564"/>
      <c r="G265" s="564"/>
      <c r="H265" s="438" t="s">
        <v>4135</v>
      </c>
      <c r="I265" s="564"/>
      <c r="J265" s="565"/>
      <c r="K265" s="565"/>
      <c r="L265" s="565"/>
      <c r="M265" s="628"/>
      <c r="N265" s="627">
        <v>41213.0</v>
      </c>
      <c r="O265" s="565"/>
      <c r="P265" s="341" t="s">
        <v>4136</v>
      </c>
      <c r="Q265" s="564"/>
      <c r="R265" s="564"/>
      <c r="S265" s="564"/>
      <c r="T265" s="564"/>
      <c r="U265" s="564"/>
      <c r="V265" s="564"/>
      <c r="W265" s="564"/>
      <c r="X265" s="564"/>
      <c r="Y265" s="564"/>
      <c r="Z265" s="564"/>
      <c r="AA265" s="564"/>
    </row>
    <row r="266">
      <c r="B266" s="341" t="s">
        <v>3262</v>
      </c>
      <c r="C266" s="563" t="s">
        <v>4238</v>
      </c>
      <c r="D266" s="564"/>
      <c r="E266" s="564"/>
      <c r="F266" s="564"/>
      <c r="G266" s="564"/>
      <c r="H266" s="438" t="s">
        <v>4135</v>
      </c>
      <c r="I266" s="564"/>
      <c r="J266" s="565"/>
      <c r="K266" s="565"/>
      <c r="L266" s="565"/>
      <c r="M266" s="628"/>
      <c r="N266" s="627">
        <v>41213.0</v>
      </c>
      <c r="O266" s="565"/>
      <c r="P266" s="341" t="s">
        <v>4136</v>
      </c>
      <c r="Q266" s="564"/>
      <c r="R266" s="564"/>
      <c r="S266" s="564"/>
      <c r="T266" s="564"/>
      <c r="U266" s="564"/>
      <c r="V266" s="564"/>
      <c r="W266" s="564"/>
      <c r="X266" s="564"/>
      <c r="Y266" s="564"/>
      <c r="Z266" s="564"/>
      <c r="AA266" s="564"/>
    </row>
    <row r="267">
      <c r="B267" s="341" t="s">
        <v>3459</v>
      </c>
      <c r="C267" s="563" t="s">
        <v>4239</v>
      </c>
      <c r="D267" s="564"/>
      <c r="E267" s="564"/>
      <c r="F267" s="564"/>
      <c r="G267" s="564"/>
      <c r="H267" s="438" t="s">
        <v>4135</v>
      </c>
      <c r="I267" s="564"/>
      <c r="J267" s="565"/>
      <c r="K267" s="565"/>
      <c r="L267" s="565"/>
      <c r="M267" s="628"/>
      <c r="N267" s="627">
        <v>41213.0</v>
      </c>
      <c r="O267" s="565"/>
      <c r="P267" s="341" t="s">
        <v>4136</v>
      </c>
      <c r="Q267" s="564"/>
      <c r="R267" s="564"/>
      <c r="S267" s="564"/>
      <c r="T267" s="564"/>
      <c r="U267" s="564"/>
      <c r="V267" s="564"/>
      <c r="W267" s="564"/>
      <c r="X267" s="564"/>
      <c r="Y267" s="564"/>
      <c r="Z267" s="564"/>
      <c r="AA267" s="564"/>
    </row>
    <row r="268">
      <c r="B268" s="341" t="s">
        <v>3455</v>
      </c>
      <c r="C268" s="563" t="s">
        <v>4240</v>
      </c>
      <c r="D268" s="564"/>
      <c r="E268" s="564"/>
      <c r="F268" s="564"/>
      <c r="G268" s="564"/>
      <c r="H268" s="438" t="s">
        <v>4135</v>
      </c>
      <c r="I268" s="564"/>
      <c r="J268" s="565"/>
      <c r="K268" s="565"/>
      <c r="L268" s="565"/>
      <c r="M268" s="628"/>
      <c r="N268" s="627">
        <v>41213.0</v>
      </c>
      <c r="O268" s="565"/>
      <c r="P268" s="341" t="s">
        <v>4136</v>
      </c>
      <c r="Q268" s="564"/>
      <c r="R268" s="564"/>
      <c r="S268" s="564"/>
      <c r="T268" s="564"/>
      <c r="U268" s="564"/>
      <c r="V268" s="564"/>
      <c r="W268" s="564"/>
      <c r="X268" s="564"/>
      <c r="Y268" s="564"/>
      <c r="Z268" s="564"/>
      <c r="AA268" s="564"/>
    </row>
    <row r="269">
      <c r="B269" s="341" t="s">
        <v>3451</v>
      </c>
      <c r="C269" s="563" t="s">
        <v>4241</v>
      </c>
      <c r="D269" s="438"/>
      <c r="E269" s="438" t="s">
        <v>3728</v>
      </c>
      <c r="F269" s="564"/>
      <c r="G269" s="564"/>
      <c r="H269" s="438" t="s">
        <v>4135</v>
      </c>
      <c r="I269" s="564"/>
      <c r="J269" s="565"/>
      <c r="K269" s="565"/>
      <c r="L269" s="565"/>
      <c r="M269" s="566">
        <v>41266.0</v>
      </c>
      <c r="N269" s="627">
        <v>41213.0</v>
      </c>
      <c r="O269" s="565">
        <f>M269-N269</f>
        <v>53</v>
      </c>
      <c r="P269" s="438" t="s">
        <v>4136</v>
      </c>
      <c r="Q269" s="564"/>
      <c r="R269" s="564"/>
      <c r="S269" s="564"/>
      <c r="T269" s="564"/>
      <c r="U269" s="564"/>
      <c r="V269" s="564"/>
      <c r="W269" s="564"/>
      <c r="X269" s="564"/>
      <c r="Y269" s="564"/>
      <c r="Z269" s="564"/>
      <c r="AA269" s="564"/>
    </row>
    <row r="270">
      <c r="B270" s="341" t="s">
        <v>3447</v>
      </c>
      <c r="C270" s="563" t="s">
        <v>4242</v>
      </c>
      <c r="D270" s="564"/>
      <c r="E270" s="564"/>
      <c r="F270" s="564"/>
      <c r="G270" s="564"/>
      <c r="H270" s="438" t="s">
        <v>4135</v>
      </c>
      <c r="I270" s="564"/>
      <c r="J270" s="565"/>
      <c r="K270" s="565"/>
      <c r="L270" s="565"/>
      <c r="M270" s="628"/>
      <c r="N270" s="627">
        <v>41213.0</v>
      </c>
      <c r="O270" s="565"/>
      <c r="P270" s="341" t="s">
        <v>4136</v>
      </c>
      <c r="Q270" s="564"/>
      <c r="R270" s="564"/>
      <c r="S270" s="564"/>
      <c r="T270" s="564"/>
      <c r="U270" s="564"/>
      <c r="V270" s="564"/>
      <c r="W270" s="564"/>
      <c r="X270" s="564"/>
      <c r="Y270" s="564"/>
      <c r="Z270" s="564"/>
      <c r="AA270" s="564"/>
    </row>
    <row r="271">
      <c r="B271" s="341" t="s">
        <v>3443</v>
      </c>
      <c r="C271" s="563" t="s">
        <v>4243</v>
      </c>
      <c r="D271" s="564"/>
      <c r="E271" s="564"/>
      <c r="F271" s="564"/>
      <c r="G271" s="564"/>
      <c r="H271" s="438" t="s">
        <v>4135</v>
      </c>
      <c r="I271" s="564"/>
      <c r="J271" s="565"/>
      <c r="K271" s="565"/>
      <c r="L271" s="565"/>
      <c r="M271" s="628"/>
      <c r="N271" s="627">
        <v>41213.0</v>
      </c>
      <c r="O271" s="565"/>
      <c r="P271" s="438" t="s">
        <v>4136</v>
      </c>
      <c r="Q271" s="564"/>
      <c r="R271" s="564"/>
      <c r="S271" s="564"/>
      <c r="T271" s="564"/>
      <c r="U271" s="564"/>
      <c r="V271" s="564"/>
      <c r="W271" s="564"/>
      <c r="X271" s="564"/>
      <c r="Y271" s="564"/>
      <c r="Z271" s="564"/>
      <c r="AA271" s="564"/>
    </row>
    <row r="272">
      <c r="B272" s="341" t="s">
        <v>3439</v>
      </c>
      <c r="C272" s="563" t="s">
        <v>4244</v>
      </c>
      <c r="D272" s="564"/>
      <c r="E272" s="564"/>
      <c r="F272" s="564"/>
      <c r="G272" s="564"/>
      <c r="H272" s="438" t="s">
        <v>4135</v>
      </c>
      <c r="I272" s="564"/>
      <c r="J272" s="565"/>
      <c r="K272" s="565"/>
      <c r="L272" s="565"/>
      <c r="M272" s="628"/>
      <c r="N272" s="627">
        <v>41213.0</v>
      </c>
      <c r="O272" s="565"/>
      <c r="P272" s="341" t="s">
        <v>4136</v>
      </c>
      <c r="Q272" s="564"/>
      <c r="R272" s="564"/>
      <c r="S272" s="564"/>
      <c r="T272" s="564"/>
      <c r="U272" s="564"/>
      <c r="V272" s="564"/>
      <c r="W272" s="564"/>
      <c r="X272" s="564"/>
      <c r="Y272" s="564"/>
      <c r="Z272" s="564"/>
      <c r="AA272" s="564"/>
    </row>
    <row r="273">
      <c r="B273" s="341" t="s">
        <v>3435</v>
      </c>
      <c r="C273" s="563" t="s">
        <v>4245</v>
      </c>
      <c r="D273" s="564"/>
      <c r="E273" s="564"/>
      <c r="F273" s="564"/>
      <c r="G273" s="564"/>
      <c r="H273" s="438" t="s">
        <v>4135</v>
      </c>
      <c r="I273" s="564"/>
      <c r="J273" s="565"/>
      <c r="K273" s="565"/>
      <c r="L273" s="565"/>
      <c r="M273" s="628"/>
      <c r="N273" s="627">
        <v>41213.0</v>
      </c>
      <c r="O273" s="565"/>
      <c r="P273" s="438" t="s">
        <v>4136</v>
      </c>
      <c r="Q273" s="564"/>
      <c r="R273" s="564"/>
      <c r="S273" s="564"/>
      <c r="T273" s="564"/>
      <c r="U273" s="564"/>
      <c r="V273" s="564"/>
      <c r="W273" s="564"/>
      <c r="X273" s="564"/>
      <c r="Y273" s="564"/>
      <c r="Z273" s="564"/>
      <c r="AA273" s="564"/>
    </row>
    <row r="274">
      <c r="B274" s="341" t="s">
        <v>3432</v>
      </c>
      <c r="C274" s="563" t="s">
        <v>4246</v>
      </c>
      <c r="D274" s="564"/>
      <c r="E274" s="564"/>
      <c r="F274" s="564"/>
      <c r="G274" s="564"/>
      <c r="H274" s="438" t="s">
        <v>4135</v>
      </c>
      <c r="I274" s="564"/>
      <c r="J274" s="565"/>
      <c r="K274" s="565"/>
      <c r="L274" s="565"/>
      <c r="M274" s="628"/>
      <c r="N274" s="627">
        <v>41213.0</v>
      </c>
      <c r="O274" s="565"/>
      <c r="P274" s="341" t="s">
        <v>4136</v>
      </c>
      <c r="Q274" s="564"/>
      <c r="R274" s="564"/>
      <c r="S274" s="564"/>
      <c r="T274" s="564"/>
      <c r="U274" s="564"/>
      <c r="V274" s="564"/>
      <c r="W274" s="564"/>
      <c r="X274" s="564"/>
      <c r="Y274" s="564"/>
      <c r="Z274" s="564"/>
      <c r="AA274" s="564"/>
    </row>
    <row r="275">
      <c r="B275" s="341" t="s">
        <v>3428</v>
      </c>
      <c r="C275" s="563" t="s">
        <v>4247</v>
      </c>
      <c r="D275" s="564"/>
      <c r="E275" s="564"/>
      <c r="F275" s="564"/>
      <c r="G275" s="564"/>
      <c r="H275" s="438" t="s">
        <v>4135</v>
      </c>
      <c r="I275" s="564"/>
      <c r="J275" s="565"/>
      <c r="K275" s="565"/>
      <c r="L275" s="565"/>
      <c r="M275" s="628"/>
      <c r="N275" s="627">
        <v>41213.0</v>
      </c>
      <c r="O275" s="565"/>
      <c r="P275" s="438" t="s">
        <v>4136</v>
      </c>
      <c r="Q275" s="564"/>
      <c r="R275" s="564"/>
      <c r="S275" s="564"/>
      <c r="T275" s="564"/>
      <c r="U275" s="564"/>
      <c r="V275" s="564"/>
      <c r="W275" s="564"/>
      <c r="X275" s="564"/>
      <c r="Y275" s="564"/>
      <c r="Z275" s="564"/>
      <c r="AA275" s="564"/>
    </row>
    <row r="276">
      <c r="B276" s="341" t="s">
        <v>3424</v>
      </c>
      <c r="C276" s="563" t="s">
        <v>4248</v>
      </c>
      <c r="D276" s="564"/>
      <c r="E276" s="564"/>
      <c r="F276" s="564"/>
      <c r="G276" s="564"/>
      <c r="H276" s="438" t="s">
        <v>4135</v>
      </c>
      <c r="I276" s="564"/>
      <c r="J276" s="565"/>
      <c r="K276" s="565"/>
      <c r="L276" s="565"/>
      <c r="M276" s="628"/>
      <c r="N276" s="627">
        <v>41213.0</v>
      </c>
      <c r="O276" s="565"/>
      <c r="P276" s="341" t="s">
        <v>4136</v>
      </c>
      <c r="Q276" s="564"/>
      <c r="R276" s="564"/>
      <c r="S276" s="564"/>
      <c r="T276" s="564"/>
      <c r="U276" s="564"/>
      <c r="V276" s="564"/>
      <c r="W276" s="564"/>
      <c r="X276" s="564"/>
      <c r="Y276" s="564"/>
      <c r="Z276" s="564"/>
      <c r="AA276" s="564"/>
    </row>
    <row r="277">
      <c r="B277" s="341" t="s">
        <v>3420</v>
      </c>
      <c r="C277" s="563" t="s">
        <v>4249</v>
      </c>
      <c r="D277" s="564"/>
      <c r="E277" s="564"/>
      <c r="F277" s="564"/>
      <c r="G277" s="564"/>
      <c r="H277" s="438" t="s">
        <v>4135</v>
      </c>
      <c r="I277" s="564"/>
      <c r="J277" s="565"/>
      <c r="K277" s="565"/>
      <c r="L277" s="565"/>
      <c r="M277" s="628"/>
      <c r="N277" s="627">
        <v>41213.0</v>
      </c>
      <c r="O277" s="565"/>
      <c r="P277" s="438" t="s">
        <v>4136</v>
      </c>
      <c r="Q277" s="564"/>
      <c r="R277" s="564"/>
      <c r="S277" s="564"/>
      <c r="T277" s="564"/>
      <c r="U277" s="564"/>
      <c r="V277" s="564"/>
      <c r="W277" s="564"/>
      <c r="X277" s="564"/>
      <c r="Y277" s="564"/>
      <c r="Z277" s="564"/>
      <c r="AA277" s="564"/>
    </row>
    <row r="278">
      <c r="B278" s="341" t="s">
        <v>3416</v>
      </c>
      <c r="C278" s="563" t="s">
        <v>4250</v>
      </c>
      <c r="D278" s="564"/>
      <c r="E278" s="564"/>
      <c r="F278" s="564"/>
      <c r="G278" s="564"/>
      <c r="H278" s="438" t="s">
        <v>4135</v>
      </c>
      <c r="I278" s="564"/>
      <c r="J278" s="565"/>
      <c r="K278" s="565"/>
      <c r="L278" s="565"/>
      <c r="M278" s="628"/>
      <c r="N278" s="627">
        <v>41213.0</v>
      </c>
      <c r="O278" s="565"/>
      <c r="P278" s="341" t="s">
        <v>4136</v>
      </c>
      <c r="Q278" s="564"/>
      <c r="R278" s="564"/>
      <c r="S278" s="564"/>
      <c r="T278" s="564"/>
      <c r="U278" s="564"/>
      <c r="V278" s="564"/>
      <c r="W278" s="564"/>
      <c r="X278" s="564"/>
      <c r="Y278" s="564"/>
      <c r="Z278" s="564"/>
      <c r="AA278" s="564"/>
    </row>
    <row r="279">
      <c r="B279" s="341" t="s">
        <v>3412</v>
      </c>
      <c r="C279" s="563" t="s">
        <v>4251</v>
      </c>
      <c r="D279" s="564"/>
      <c r="E279" s="564"/>
      <c r="F279" s="564"/>
      <c r="G279" s="564"/>
      <c r="H279" s="438" t="s">
        <v>4135</v>
      </c>
      <c r="I279" s="564"/>
      <c r="J279" s="565"/>
      <c r="K279" s="565"/>
      <c r="L279" s="565"/>
      <c r="M279" s="628"/>
      <c r="N279" s="627">
        <v>41213.0</v>
      </c>
      <c r="O279" s="565"/>
      <c r="P279" s="438" t="s">
        <v>4136</v>
      </c>
      <c r="Q279" s="564"/>
      <c r="R279" s="564"/>
      <c r="S279" s="564"/>
      <c r="T279" s="564"/>
      <c r="U279" s="564"/>
      <c r="V279" s="564"/>
      <c r="W279" s="564"/>
      <c r="X279" s="564"/>
      <c r="Y279" s="564"/>
      <c r="Z279" s="564"/>
      <c r="AA279" s="564"/>
    </row>
    <row r="280">
      <c r="B280" s="341" t="s">
        <v>3408</v>
      </c>
      <c r="C280" s="563" t="s">
        <v>4252</v>
      </c>
      <c r="D280" s="564"/>
      <c r="E280" s="564"/>
      <c r="F280" s="564"/>
      <c r="G280" s="438" t="s">
        <v>3728</v>
      </c>
      <c r="H280" s="564"/>
      <c r="I280" s="564"/>
      <c r="J280" s="565"/>
      <c r="K280" s="565"/>
      <c r="L280" s="565"/>
      <c r="M280" s="566">
        <v>41308.0</v>
      </c>
      <c r="N280" s="627">
        <v>41213.0</v>
      </c>
      <c r="O280" s="565">
        <f>M280-N280</f>
        <v>95</v>
      </c>
      <c r="P280" s="568" t="s">
        <v>4253</v>
      </c>
      <c r="Q280" s="564"/>
      <c r="R280" s="564"/>
      <c r="S280" s="564"/>
      <c r="T280" s="438">
        <v>2040.0</v>
      </c>
      <c r="U280" s="438">
        <v>1773.0</v>
      </c>
      <c r="V280" s="564"/>
      <c r="W280" s="564"/>
      <c r="X280" s="564"/>
      <c r="Y280" s="564"/>
      <c r="Z280" s="564"/>
      <c r="AA280" s="564"/>
    </row>
    <row r="281">
      <c r="B281" s="341" t="s">
        <v>3404</v>
      </c>
      <c r="C281" s="563" t="s">
        <v>4254</v>
      </c>
      <c r="D281" s="564"/>
      <c r="E281" s="564"/>
      <c r="F281" s="564"/>
      <c r="G281" s="564"/>
      <c r="H281" s="438" t="s">
        <v>4135</v>
      </c>
      <c r="I281" s="564"/>
      <c r="J281" s="565"/>
      <c r="K281" s="565"/>
      <c r="L281" s="565"/>
      <c r="M281" s="628"/>
      <c r="N281" s="627">
        <v>41213.0</v>
      </c>
      <c r="O281" s="565"/>
      <c r="P281" s="341" t="s">
        <v>4136</v>
      </c>
      <c r="Q281" s="564"/>
      <c r="R281" s="564"/>
      <c r="S281" s="564"/>
      <c r="T281" s="564"/>
      <c r="U281" s="564"/>
      <c r="V281" s="564"/>
      <c r="W281" s="564"/>
      <c r="X281" s="564"/>
      <c r="Y281" s="564"/>
      <c r="Z281" s="564"/>
      <c r="AA281" s="564"/>
    </row>
    <row r="282">
      <c r="B282" s="341" t="s">
        <v>3400</v>
      </c>
      <c r="C282" s="563" t="s">
        <v>4255</v>
      </c>
      <c r="D282" s="564"/>
      <c r="E282" s="564"/>
      <c r="F282" s="564"/>
      <c r="G282" s="564"/>
      <c r="H282" s="438" t="s">
        <v>4135</v>
      </c>
      <c r="I282" s="564"/>
      <c r="J282" s="565"/>
      <c r="K282" s="565"/>
      <c r="L282" s="565"/>
      <c r="M282" s="628"/>
      <c r="N282" s="627">
        <v>41213.0</v>
      </c>
      <c r="O282" s="565"/>
      <c r="P282" s="341" t="s">
        <v>4136</v>
      </c>
      <c r="Q282" s="564"/>
      <c r="R282" s="564"/>
      <c r="S282" s="564"/>
      <c r="T282" s="564"/>
      <c r="U282" s="564"/>
      <c r="V282" s="564"/>
      <c r="W282" s="564"/>
      <c r="X282" s="564"/>
      <c r="Y282" s="564"/>
      <c r="Z282" s="564"/>
      <c r="AA282" s="564"/>
    </row>
    <row r="283">
      <c r="B283" s="341" t="s">
        <v>3396</v>
      </c>
      <c r="C283" s="563" t="s">
        <v>4256</v>
      </c>
      <c r="D283" s="564"/>
      <c r="E283" s="564"/>
      <c r="F283" s="564"/>
      <c r="G283" s="564"/>
      <c r="H283" s="438" t="s">
        <v>4135</v>
      </c>
      <c r="I283" s="564"/>
      <c r="J283" s="565"/>
      <c r="K283" s="565"/>
      <c r="L283" s="565"/>
      <c r="M283" s="628"/>
      <c r="N283" s="627">
        <v>41213.0</v>
      </c>
      <c r="O283" s="565"/>
      <c r="P283" s="341" t="s">
        <v>4136</v>
      </c>
      <c r="Q283" s="564"/>
      <c r="R283" s="564"/>
      <c r="S283" s="564"/>
      <c r="T283" s="564"/>
      <c r="U283" s="564"/>
      <c r="V283" s="564"/>
      <c r="W283" s="564"/>
      <c r="X283" s="564"/>
      <c r="Y283" s="564"/>
      <c r="Z283" s="564"/>
      <c r="AA283" s="564"/>
    </row>
    <row r="284">
      <c r="B284" s="341" t="s">
        <v>3392</v>
      </c>
      <c r="C284" s="563" t="s">
        <v>4257</v>
      </c>
      <c r="D284" s="564"/>
      <c r="E284" s="564"/>
      <c r="F284" s="564"/>
      <c r="G284" s="564"/>
      <c r="H284" s="438" t="s">
        <v>4135</v>
      </c>
      <c r="I284" s="564"/>
      <c r="J284" s="565"/>
      <c r="K284" s="565"/>
      <c r="L284" s="565"/>
      <c r="M284" s="628"/>
      <c r="N284" s="627">
        <v>41213.0</v>
      </c>
      <c r="O284" s="565"/>
      <c r="P284" s="341" t="s">
        <v>4136</v>
      </c>
      <c r="Q284" s="564"/>
      <c r="R284" s="564"/>
      <c r="S284" s="564"/>
      <c r="T284" s="564"/>
      <c r="U284" s="564"/>
      <c r="V284" s="564"/>
      <c r="W284" s="564"/>
      <c r="X284" s="564"/>
      <c r="Y284" s="564"/>
      <c r="Z284" s="564"/>
      <c r="AA284" s="564"/>
    </row>
    <row r="285">
      <c r="B285" s="341" t="s">
        <v>3388</v>
      </c>
      <c r="C285" s="563" t="s">
        <v>4258</v>
      </c>
      <c r="D285" s="564"/>
      <c r="E285" s="564"/>
      <c r="F285" s="564"/>
      <c r="G285" s="564"/>
      <c r="H285" s="438" t="s">
        <v>4135</v>
      </c>
      <c r="I285" s="564"/>
      <c r="J285" s="565"/>
      <c r="K285" s="565"/>
      <c r="L285" s="565"/>
      <c r="M285" s="628"/>
      <c r="N285" s="627">
        <v>41213.0</v>
      </c>
      <c r="O285" s="565"/>
      <c r="P285" s="341" t="s">
        <v>4136</v>
      </c>
      <c r="Q285" s="564"/>
      <c r="R285" s="564"/>
      <c r="S285" s="564"/>
      <c r="T285" s="564"/>
      <c r="U285" s="564"/>
      <c r="V285" s="564"/>
      <c r="W285" s="564"/>
      <c r="X285" s="564"/>
      <c r="Y285" s="564"/>
      <c r="Z285" s="564"/>
      <c r="AA285" s="564"/>
    </row>
    <row r="286">
      <c r="A286" s="586" t="s">
        <v>3276</v>
      </c>
      <c r="B286" s="387" t="s">
        <v>3382</v>
      </c>
      <c r="C286" s="587" t="s">
        <v>4259</v>
      </c>
      <c r="D286" s="329"/>
      <c r="E286" s="329"/>
      <c r="F286" s="329"/>
      <c r="G286" s="329"/>
      <c r="H286" s="588" t="s">
        <v>4135</v>
      </c>
      <c r="I286" s="329"/>
      <c r="J286" s="589"/>
      <c r="K286" s="589"/>
      <c r="L286" s="589"/>
      <c r="M286" s="590" t="s">
        <v>4260</v>
      </c>
      <c r="N286" s="629">
        <v>41243.0</v>
      </c>
      <c r="O286" s="589"/>
      <c r="P286" s="588" t="s">
        <v>4136</v>
      </c>
      <c r="Q286" s="329"/>
      <c r="R286" s="329"/>
      <c r="S286" s="329"/>
      <c r="T286" s="329"/>
      <c r="U286" s="329"/>
      <c r="V286" s="329"/>
      <c r="W286" s="329"/>
      <c r="X286" s="329"/>
      <c r="Y286" s="329"/>
      <c r="Z286" s="329"/>
      <c r="AA286" s="329"/>
    </row>
    <row r="287">
      <c r="B287" s="387" t="s">
        <v>3377</v>
      </c>
      <c r="C287" s="605" t="s">
        <v>4261</v>
      </c>
      <c r="D287" s="329"/>
      <c r="E287" s="329"/>
      <c r="F287" s="329"/>
      <c r="G287" s="329"/>
      <c r="H287" s="588" t="s">
        <v>3905</v>
      </c>
      <c r="I287" s="329"/>
      <c r="J287" s="589"/>
      <c r="K287" s="589"/>
      <c r="L287" s="589"/>
      <c r="M287" s="590">
        <v>41878.0</v>
      </c>
      <c r="N287" s="629">
        <v>41243.0</v>
      </c>
      <c r="O287" s="589">
        <f>M287-N287</f>
        <v>635</v>
      </c>
      <c r="P287" s="592" t="s">
        <v>4262</v>
      </c>
      <c r="Q287" s="329"/>
      <c r="R287" s="329"/>
      <c r="S287" s="329"/>
      <c r="T287" s="588">
        <v>1756.0</v>
      </c>
      <c r="U287" s="588">
        <v>579.0</v>
      </c>
      <c r="V287" s="329"/>
      <c r="W287" s="329"/>
      <c r="X287" s="329"/>
      <c r="Y287" s="329"/>
      <c r="Z287" s="329"/>
      <c r="AA287" s="329"/>
    </row>
    <row r="288">
      <c r="B288" s="387" t="s">
        <v>3372</v>
      </c>
      <c r="C288" s="587" t="s">
        <v>4263</v>
      </c>
      <c r="D288" s="329"/>
      <c r="E288" s="329"/>
      <c r="F288" s="329"/>
      <c r="G288" s="329"/>
      <c r="H288" s="588" t="s">
        <v>4264</v>
      </c>
      <c r="I288" s="329"/>
      <c r="J288" s="589"/>
      <c r="K288" s="589"/>
      <c r="L288" s="589"/>
      <c r="M288" s="590" t="s">
        <v>4260</v>
      </c>
      <c r="N288" s="629">
        <v>41243.0</v>
      </c>
      <c r="O288" s="589"/>
      <c r="P288" s="588" t="s">
        <v>4136</v>
      </c>
      <c r="Q288" s="329"/>
      <c r="R288" s="329"/>
      <c r="S288" s="329"/>
      <c r="T288" s="329"/>
      <c r="U288" s="329"/>
      <c r="V288" s="329"/>
      <c r="W288" s="329"/>
      <c r="X288" s="329"/>
      <c r="Y288" s="329"/>
      <c r="Z288" s="329"/>
      <c r="AA288" s="329"/>
    </row>
    <row r="289">
      <c r="B289" s="387" t="s">
        <v>3367</v>
      </c>
      <c r="C289" s="587" t="s">
        <v>4265</v>
      </c>
      <c r="D289" s="329"/>
      <c r="E289" s="329"/>
      <c r="F289" s="329"/>
      <c r="G289" s="588" t="s">
        <v>3728</v>
      </c>
      <c r="H289" s="329"/>
      <c r="I289" s="329"/>
      <c r="J289" s="589"/>
      <c r="K289" s="589"/>
      <c r="L289" s="589"/>
      <c r="M289" s="590">
        <v>41878.0</v>
      </c>
      <c r="N289" s="629">
        <v>41243.0</v>
      </c>
      <c r="O289" s="589">
        <f t="shared" ref="O289:O291" si="10">M289-N289</f>
        <v>635</v>
      </c>
      <c r="P289" s="592" t="s">
        <v>4266</v>
      </c>
      <c r="Q289" s="329"/>
      <c r="R289" s="329"/>
      <c r="S289" s="329"/>
      <c r="T289" s="588">
        <v>471.0</v>
      </c>
      <c r="U289" s="588">
        <v>97.0</v>
      </c>
      <c r="V289" s="329"/>
      <c r="W289" s="329"/>
      <c r="X289" s="329"/>
      <c r="Y289" s="329"/>
      <c r="Z289" s="329"/>
      <c r="AA289" s="329"/>
    </row>
    <row r="290">
      <c r="B290" s="389" t="s">
        <v>3355</v>
      </c>
      <c r="C290" s="605" t="s">
        <v>4267</v>
      </c>
      <c r="D290" s="329"/>
      <c r="E290" s="329"/>
      <c r="F290" s="329"/>
      <c r="G290" s="588"/>
      <c r="H290" s="329"/>
      <c r="I290" s="329"/>
      <c r="J290" s="589"/>
      <c r="K290" s="589"/>
      <c r="L290" s="589"/>
      <c r="M290" s="590">
        <v>41625.0</v>
      </c>
      <c r="N290" s="629">
        <v>41243.0</v>
      </c>
      <c r="O290" s="589">
        <f t="shared" si="10"/>
        <v>382</v>
      </c>
      <c r="P290" s="588" t="s">
        <v>4136</v>
      </c>
      <c r="Q290" s="329"/>
      <c r="R290" s="329"/>
      <c r="S290" s="329"/>
      <c r="T290" s="329"/>
      <c r="U290" s="329"/>
      <c r="V290" s="329"/>
      <c r="W290" s="329"/>
      <c r="X290" s="329"/>
      <c r="Y290" s="329"/>
      <c r="Z290" s="329"/>
      <c r="AA290" s="329"/>
    </row>
    <row r="291">
      <c r="B291" s="387" t="s">
        <v>3350</v>
      </c>
      <c r="C291" s="587" t="s">
        <v>4268</v>
      </c>
      <c r="D291" s="329"/>
      <c r="E291" s="329"/>
      <c r="F291" s="329"/>
      <c r="G291" s="329"/>
      <c r="H291" s="588" t="s">
        <v>4269</v>
      </c>
      <c r="I291" s="329"/>
      <c r="J291" s="589"/>
      <c r="K291" s="589"/>
      <c r="L291" s="589"/>
      <c r="M291" s="590">
        <v>41625.0</v>
      </c>
      <c r="N291" s="629">
        <v>41243.0</v>
      </c>
      <c r="O291" s="589">
        <f t="shared" si="10"/>
        <v>382</v>
      </c>
      <c r="P291" s="592" t="s">
        <v>4270</v>
      </c>
      <c r="Q291" s="329"/>
      <c r="R291" s="329"/>
      <c r="S291" s="329"/>
      <c r="T291" s="588">
        <v>1133.0</v>
      </c>
      <c r="U291" s="588">
        <v>52.0</v>
      </c>
      <c r="V291" s="329"/>
      <c r="W291" s="329"/>
      <c r="X291" s="329"/>
      <c r="Y291" s="329"/>
      <c r="Z291" s="329"/>
      <c r="AA291" s="329"/>
    </row>
    <row r="292">
      <c r="B292" s="387" t="s">
        <v>3345</v>
      </c>
      <c r="C292" s="587" t="s">
        <v>4271</v>
      </c>
      <c r="D292" s="329"/>
      <c r="E292" s="329"/>
      <c r="F292" s="329"/>
      <c r="G292" s="329"/>
      <c r="H292" s="588" t="s">
        <v>4135</v>
      </c>
      <c r="I292" s="329"/>
      <c r="J292" s="589"/>
      <c r="K292" s="589"/>
      <c r="L292" s="589"/>
      <c r="M292" s="590" t="s">
        <v>4260</v>
      </c>
      <c r="N292" s="629">
        <v>41243.0</v>
      </c>
      <c r="O292" s="589"/>
      <c r="P292" s="588" t="s">
        <v>4136</v>
      </c>
      <c r="Q292" s="329"/>
      <c r="R292" s="329"/>
      <c r="S292" s="329"/>
      <c r="T292" s="329"/>
      <c r="U292" s="329"/>
      <c r="V292" s="329"/>
      <c r="W292" s="329"/>
      <c r="X292" s="329"/>
      <c r="Y292" s="329"/>
      <c r="Z292" s="329"/>
      <c r="AA292" s="329"/>
    </row>
    <row r="293">
      <c r="B293" s="387" t="s">
        <v>3340</v>
      </c>
      <c r="C293" s="587" t="s">
        <v>4272</v>
      </c>
      <c r="D293" s="329"/>
      <c r="E293" s="329"/>
      <c r="F293" s="329"/>
      <c r="G293" s="329"/>
      <c r="H293" s="588" t="s">
        <v>4135</v>
      </c>
      <c r="I293" s="329"/>
      <c r="J293" s="589"/>
      <c r="K293" s="589"/>
      <c r="L293" s="589"/>
      <c r="M293" s="590">
        <v>41643.0</v>
      </c>
      <c r="N293" s="629">
        <v>41243.0</v>
      </c>
      <c r="O293" s="589">
        <f t="shared" ref="O293:O296" si="11">M293-N293</f>
        <v>400</v>
      </c>
      <c r="P293" s="588" t="s">
        <v>4136</v>
      </c>
      <c r="Q293" s="329"/>
      <c r="R293" s="329"/>
      <c r="S293" s="329"/>
      <c r="T293" s="329"/>
      <c r="U293" s="329"/>
      <c r="V293" s="329"/>
      <c r="W293" s="329"/>
      <c r="X293" s="329"/>
      <c r="Y293" s="329"/>
      <c r="Z293" s="329"/>
      <c r="AA293" s="329"/>
    </row>
    <row r="294">
      <c r="B294" s="387" t="s">
        <v>3335</v>
      </c>
      <c r="C294" s="587" t="s">
        <v>4273</v>
      </c>
      <c r="D294" s="329"/>
      <c r="E294" s="329"/>
      <c r="F294" s="329"/>
      <c r="G294" s="329"/>
      <c r="H294" s="588" t="s">
        <v>3725</v>
      </c>
      <c r="I294" s="329"/>
      <c r="J294" s="589"/>
      <c r="K294" s="589"/>
      <c r="L294" s="589"/>
      <c r="M294" s="590">
        <v>41670.0</v>
      </c>
      <c r="N294" s="629">
        <v>41243.0</v>
      </c>
      <c r="O294" s="589">
        <f t="shared" si="11"/>
        <v>427</v>
      </c>
      <c r="P294" s="592" t="s">
        <v>4274</v>
      </c>
      <c r="Q294" s="329"/>
      <c r="R294" s="329"/>
      <c r="S294" s="329"/>
      <c r="T294" s="588">
        <v>1003.0</v>
      </c>
      <c r="U294" s="588">
        <v>480.0</v>
      </c>
      <c r="V294" s="329"/>
      <c r="W294" s="329"/>
      <c r="X294" s="329"/>
      <c r="Y294" s="329"/>
      <c r="Z294" s="329"/>
      <c r="AA294" s="329"/>
    </row>
    <row r="295">
      <c r="B295" s="387" t="s">
        <v>3330</v>
      </c>
      <c r="C295" s="587" t="s">
        <v>4275</v>
      </c>
      <c r="D295" s="329"/>
      <c r="E295" s="329"/>
      <c r="F295" s="329"/>
      <c r="G295" s="329"/>
      <c r="H295" s="588" t="s">
        <v>3725</v>
      </c>
      <c r="I295" s="329"/>
      <c r="J295" s="589"/>
      <c r="K295" s="589"/>
      <c r="L295" s="589"/>
      <c r="M295" s="590">
        <v>41666.0</v>
      </c>
      <c r="N295" s="629">
        <v>41243.0</v>
      </c>
      <c r="O295" s="589">
        <f t="shared" si="11"/>
        <v>423</v>
      </c>
      <c r="P295" s="592" t="s">
        <v>4276</v>
      </c>
      <c r="Q295" s="329"/>
      <c r="R295" s="329"/>
      <c r="S295" s="329"/>
      <c r="T295" s="588">
        <v>1451.0</v>
      </c>
      <c r="U295" s="588">
        <v>917.0</v>
      </c>
      <c r="V295" s="329"/>
      <c r="W295" s="329"/>
      <c r="X295" s="329"/>
      <c r="Y295" s="329"/>
      <c r="Z295" s="329"/>
      <c r="AA295" s="329"/>
    </row>
    <row r="296">
      <c r="B296" s="387" t="s">
        <v>3325</v>
      </c>
      <c r="C296" s="587" t="s">
        <v>4277</v>
      </c>
      <c r="D296" s="329"/>
      <c r="E296" s="329"/>
      <c r="F296" s="329"/>
      <c r="G296" s="588" t="s">
        <v>3728</v>
      </c>
      <c r="H296" s="329"/>
      <c r="I296" s="329"/>
      <c r="J296" s="589"/>
      <c r="K296" s="589"/>
      <c r="L296" s="589"/>
      <c r="M296" s="590">
        <v>41374.0</v>
      </c>
      <c r="N296" s="629">
        <v>41243.0</v>
      </c>
      <c r="O296" s="589">
        <f t="shared" si="11"/>
        <v>131</v>
      </c>
      <c r="P296" s="592" t="s">
        <v>4278</v>
      </c>
      <c r="Q296" s="329"/>
      <c r="R296" s="329"/>
      <c r="S296" s="329"/>
      <c r="T296" s="588">
        <v>1231.0</v>
      </c>
      <c r="U296" s="588">
        <v>1619.0</v>
      </c>
      <c r="V296" s="329"/>
      <c r="W296" s="329"/>
      <c r="X296" s="329"/>
      <c r="Y296" s="329"/>
      <c r="Z296" s="329"/>
      <c r="AA296" s="329"/>
    </row>
    <row r="297">
      <c r="B297" s="387" t="s">
        <v>3320</v>
      </c>
      <c r="C297" s="587" t="s">
        <v>3968</v>
      </c>
      <c r="D297" s="329"/>
      <c r="E297" s="329"/>
      <c r="F297" s="329"/>
      <c r="G297" s="329"/>
      <c r="H297" s="588" t="s">
        <v>3725</v>
      </c>
      <c r="I297" s="329"/>
      <c r="J297" s="589"/>
      <c r="K297" s="589"/>
      <c r="L297" s="589"/>
      <c r="M297" s="630"/>
      <c r="N297" s="629">
        <v>41243.0</v>
      </c>
      <c r="O297" s="589"/>
      <c r="P297" s="588" t="s">
        <v>4136</v>
      </c>
      <c r="Q297" s="329"/>
      <c r="R297" s="329"/>
      <c r="S297" s="329"/>
      <c r="T297" s="329"/>
      <c r="U297" s="329"/>
      <c r="V297" s="329"/>
      <c r="W297" s="329"/>
      <c r="X297" s="329"/>
      <c r="Y297" s="329"/>
      <c r="Z297" s="329"/>
      <c r="AA297" s="329"/>
    </row>
    <row r="298">
      <c r="B298" s="387" t="s">
        <v>3315</v>
      </c>
      <c r="C298" s="587" t="s">
        <v>4279</v>
      </c>
      <c r="D298" s="329"/>
      <c r="E298" s="329"/>
      <c r="F298" s="329"/>
      <c r="G298" s="329"/>
      <c r="H298" s="588" t="s">
        <v>4135</v>
      </c>
      <c r="I298" s="329"/>
      <c r="J298" s="589"/>
      <c r="K298" s="589"/>
      <c r="L298" s="589"/>
      <c r="M298" s="590">
        <v>41625.0</v>
      </c>
      <c r="N298" s="629">
        <v>41243.0</v>
      </c>
      <c r="O298" s="589">
        <f>M298-N298</f>
        <v>382</v>
      </c>
      <c r="P298" s="588" t="s">
        <v>4136</v>
      </c>
      <c r="Q298" s="329"/>
      <c r="R298" s="329"/>
      <c r="S298" s="329"/>
      <c r="T298" s="329"/>
      <c r="U298" s="329"/>
      <c r="V298" s="329"/>
      <c r="W298" s="329"/>
      <c r="X298" s="329"/>
      <c r="Y298" s="329"/>
      <c r="Z298" s="329"/>
      <c r="AA298" s="329"/>
    </row>
    <row r="299">
      <c r="B299" s="387" t="s">
        <v>3256</v>
      </c>
      <c r="C299" s="587" t="s">
        <v>3122</v>
      </c>
      <c r="D299" s="329"/>
      <c r="E299" s="329"/>
      <c r="F299" s="329"/>
      <c r="G299" s="329"/>
      <c r="H299" s="588" t="s">
        <v>4135</v>
      </c>
      <c r="I299" s="329"/>
      <c r="J299" s="589"/>
      <c r="K299" s="589"/>
      <c r="L299" s="589"/>
      <c r="M299" s="630"/>
      <c r="N299" s="629">
        <v>41243.0</v>
      </c>
      <c r="O299" s="589"/>
      <c r="P299" s="588" t="s">
        <v>4136</v>
      </c>
      <c r="Q299" s="329"/>
      <c r="R299" s="329"/>
      <c r="S299" s="329"/>
      <c r="T299" s="329"/>
      <c r="U299" s="329"/>
      <c r="V299" s="329"/>
      <c r="W299" s="329"/>
      <c r="X299" s="329"/>
      <c r="Y299" s="329"/>
      <c r="Z299" s="329"/>
      <c r="AA299" s="329"/>
    </row>
    <row r="300">
      <c r="B300" s="387" t="s">
        <v>3255</v>
      </c>
      <c r="C300" s="587" t="s">
        <v>4280</v>
      </c>
      <c r="D300" s="329"/>
      <c r="E300" s="329"/>
      <c r="F300" s="329"/>
      <c r="G300" s="329"/>
      <c r="H300" s="588" t="s">
        <v>4135</v>
      </c>
      <c r="I300" s="329"/>
      <c r="J300" s="589"/>
      <c r="K300" s="589"/>
      <c r="L300" s="589"/>
      <c r="M300" s="630"/>
      <c r="N300" s="629">
        <v>41243.0</v>
      </c>
      <c r="O300" s="589"/>
      <c r="P300" s="588" t="s">
        <v>4136</v>
      </c>
      <c r="Q300" s="329"/>
      <c r="R300" s="329"/>
      <c r="S300" s="329"/>
      <c r="T300" s="329"/>
      <c r="U300" s="329"/>
      <c r="V300" s="329"/>
      <c r="W300" s="329"/>
      <c r="X300" s="329"/>
      <c r="Y300" s="329"/>
      <c r="Z300" s="329"/>
      <c r="AA300" s="329"/>
    </row>
    <row r="301">
      <c r="B301" s="389" t="s">
        <v>3254</v>
      </c>
      <c r="C301" s="605" t="s">
        <v>4281</v>
      </c>
      <c r="D301" s="329"/>
      <c r="E301" s="329"/>
      <c r="F301" s="329"/>
      <c r="G301" s="329"/>
      <c r="H301" s="588" t="s">
        <v>4135</v>
      </c>
      <c r="I301" s="329"/>
      <c r="J301" s="589"/>
      <c r="K301" s="589"/>
      <c r="L301" s="589"/>
      <c r="M301" s="630"/>
      <c r="N301" s="629">
        <v>41243.0</v>
      </c>
      <c r="O301" s="589"/>
      <c r="P301" s="588" t="s">
        <v>4136</v>
      </c>
      <c r="Q301" s="329"/>
      <c r="R301" s="329"/>
      <c r="S301" s="329"/>
      <c r="T301" s="329"/>
      <c r="U301" s="329"/>
      <c r="V301" s="329"/>
      <c r="W301" s="329"/>
      <c r="X301" s="329"/>
      <c r="Y301" s="329"/>
      <c r="Z301" s="329"/>
      <c r="AA301" s="329"/>
    </row>
    <row r="302">
      <c r="B302" s="387" t="s">
        <v>3253</v>
      </c>
      <c r="C302" s="587" t="s">
        <v>4208</v>
      </c>
      <c r="D302" s="329"/>
      <c r="E302" s="329"/>
      <c r="F302" s="329"/>
      <c r="G302" s="329"/>
      <c r="H302" s="588" t="s">
        <v>3725</v>
      </c>
      <c r="I302" s="329"/>
      <c r="J302" s="589"/>
      <c r="K302" s="589"/>
      <c r="L302" s="589"/>
      <c r="M302" s="630"/>
      <c r="N302" s="629">
        <v>41243.0</v>
      </c>
      <c r="O302" s="589"/>
      <c r="P302" s="588" t="s">
        <v>4136</v>
      </c>
      <c r="Q302" s="329"/>
      <c r="R302" s="329"/>
      <c r="S302" s="329"/>
      <c r="T302" s="329"/>
      <c r="U302" s="329"/>
      <c r="V302" s="329"/>
      <c r="W302" s="329"/>
      <c r="X302" s="329"/>
      <c r="Y302" s="329"/>
      <c r="Z302" s="329"/>
      <c r="AA302" s="329"/>
    </row>
    <row r="303">
      <c r="B303" s="387" t="s">
        <v>3252</v>
      </c>
      <c r="C303" s="605" t="s">
        <v>4282</v>
      </c>
      <c r="D303" s="329"/>
      <c r="E303" s="329"/>
      <c r="F303" s="329"/>
      <c r="G303" s="588" t="s">
        <v>3728</v>
      </c>
      <c r="H303" s="329"/>
      <c r="I303" s="329"/>
      <c r="J303" s="589"/>
      <c r="K303" s="589"/>
      <c r="L303" s="589"/>
      <c r="M303" s="590">
        <v>41266.0</v>
      </c>
      <c r="N303" s="629">
        <v>41243.0</v>
      </c>
      <c r="O303" s="589">
        <f>M303-N303</f>
        <v>23</v>
      </c>
      <c r="P303" s="592" t="s">
        <v>4283</v>
      </c>
      <c r="Q303" s="329"/>
      <c r="R303" s="329"/>
      <c r="S303" s="329"/>
      <c r="T303" s="588">
        <v>1192.0</v>
      </c>
      <c r="U303" s="588">
        <v>299.0</v>
      </c>
      <c r="V303" s="329"/>
      <c r="W303" s="329"/>
      <c r="X303" s="329"/>
      <c r="Y303" s="329"/>
      <c r="Z303" s="329"/>
      <c r="AA303" s="329"/>
    </row>
    <row r="304">
      <c r="B304" s="387" t="s">
        <v>3251</v>
      </c>
      <c r="C304" s="587" t="s">
        <v>4284</v>
      </c>
      <c r="D304" s="329"/>
      <c r="E304" s="329"/>
      <c r="F304" s="329"/>
      <c r="G304" s="329"/>
      <c r="H304" s="588" t="s">
        <v>4135</v>
      </c>
      <c r="I304" s="329"/>
      <c r="J304" s="589"/>
      <c r="K304" s="589"/>
      <c r="L304" s="589"/>
      <c r="M304" s="630"/>
      <c r="N304" s="629">
        <v>41243.0</v>
      </c>
      <c r="O304" s="589"/>
      <c r="P304" s="588" t="s">
        <v>4136</v>
      </c>
      <c r="Q304" s="329"/>
      <c r="R304" s="329"/>
      <c r="S304" s="329"/>
      <c r="T304" s="329"/>
      <c r="U304" s="329"/>
      <c r="V304" s="329"/>
      <c r="W304" s="329"/>
      <c r="X304" s="329"/>
      <c r="Y304" s="329"/>
      <c r="Z304" s="329"/>
      <c r="AA304" s="329"/>
    </row>
    <row r="305">
      <c r="B305" s="387" t="s">
        <v>3250</v>
      </c>
      <c r="C305" s="587" t="s">
        <v>4285</v>
      </c>
      <c r="D305" s="329"/>
      <c r="E305" s="329"/>
      <c r="F305" s="329"/>
      <c r="G305" s="329"/>
      <c r="H305" s="588" t="s">
        <v>3725</v>
      </c>
      <c r="I305" s="329"/>
      <c r="J305" s="594" t="s">
        <v>3728</v>
      </c>
      <c r="K305" s="589"/>
      <c r="L305" s="589"/>
      <c r="M305" s="590">
        <v>41878.0</v>
      </c>
      <c r="N305" s="629">
        <v>41243.0</v>
      </c>
      <c r="O305" s="589">
        <f t="shared" ref="O305:O308" si="12">M305-N305</f>
        <v>635</v>
      </c>
      <c r="P305" s="592" t="s">
        <v>4286</v>
      </c>
      <c r="Q305" s="329"/>
      <c r="R305" s="329"/>
      <c r="S305" s="329"/>
      <c r="T305" s="588">
        <v>6139.0</v>
      </c>
      <c r="U305" s="588">
        <v>3882.0</v>
      </c>
      <c r="V305" s="329"/>
      <c r="W305" s="329"/>
      <c r="X305" s="329"/>
      <c r="Y305" s="329"/>
      <c r="Z305" s="329"/>
      <c r="AA305" s="329"/>
    </row>
    <row r="306">
      <c r="B306" s="387" t="s">
        <v>3249</v>
      </c>
      <c r="C306" s="587" t="s">
        <v>4287</v>
      </c>
      <c r="D306" s="588"/>
      <c r="E306" s="588" t="s">
        <v>3728</v>
      </c>
      <c r="F306" s="329"/>
      <c r="G306" s="588"/>
      <c r="H306" s="329"/>
      <c r="I306" s="329"/>
      <c r="J306" s="589"/>
      <c r="K306" s="589"/>
      <c r="L306" s="589"/>
      <c r="M306" s="631">
        <v>41301.0</v>
      </c>
      <c r="N306" s="629">
        <v>41243.0</v>
      </c>
      <c r="O306" s="589">
        <f t="shared" si="12"/>
        <v>58</v>
      </c>
      <c r="P306" s="592" t="s">
        <v>4288</v>
      </c>
      <c r="Q306" s="329"/>
      <c r="R306" s="329"/>
      <c r="S306" s="329"/>
      <c r="T306" s="588">
        <v>208.0</v>
      </c>
      <c r="U306" s="588">
        <v>28.0</v>
      </c>
      <c r="V306" s="329"/>
      <c r="W306" s="329"/>
      <c r="X306" s="329"/>
      <c r="Y306" s="329"/>
      <c r="Z306" s="329"/>
      <c r="AA306" s="329"/>
    </row>
    <row r="307">
      <c r="B307" s="387" t="s">
        <v>3248</v>
      </c>
      <c r="C307" s="587" t="s">
        <v>4289</v>
      </c>
      <c r="D307" s="329"/>
      <c r="E307" s="329"/>
      <c r="F307" s="329"/>
      <c r="G307" s="329"/>
      <c r="H307" s="329"/>
      <c r="I307" s="329"/>
      <c r="J307" s="589"/>
      <c r="K307" s="589"/>
      <c r="L307" s="589"/>
      <c r="M307" s="631">
        <v>41443.0</v>
      </c>
      <c r="N307" s="629">
        <v>41243.0</v>
      </c>
      <c r="O307" s="589">
        <f t="shared" si="12"/>
        <v>200</v>
      </c>
      <c r="P307" s="588" t="s">
        <v>4136</v>
      </c>
      <c r="Q307" s="329"/>
      <c r="R307" s="329"/>
      <c r="S307" s="329"/>
      <c r="T307" s="329"/>
      <c r="U307" s="329"/>
      <c r="V307" s="329"/>
      <c r="W307" s="329"/>
      <c r="X307" s="329"/>
      <c r="Y307" s="329"/>
      <c r="Z307" s="329"/>
      <c r="AA307" s="329"/>
    </row>
    <row r="308">
      <c r="B308" s="387" t="s">
        <v>3247</v>
      </c>
      <c r="C308" s="587" t="s">
        <v>4290</v>
      </c>
      <c r="D308" s="329"/>
      <c r="E308" s="329"/>
      <c r="F308" s="329"/>
      <c r="G308" s="588" t="s">
        <v>3728</v>
      </c>
      <c r="H308" s="329"/>
      <c r="I308" s="329"/>
      <c r="J308" s="589"/>
      <c r="K308" s="589"/>
      <c r="L308" s="589"/>
      <c r="M308" s="590">
        <v>41284.0</v>
      </c>
      <c r="N308" s="629">
        <v>41243.0</v>
      </c>
      <c r="O308" s="589">
        <f t="shared" si="12"/>
        <v>41</v>
      </c>
      <c r="P308" s="592" t="s">
        <v>4291</v>
      </c>
      <c r="Q308" s="329"/>
      <c r="R308" s="329"/>
      <c r="S308" s="329"/>
      <c r="T308" s="588">
        <v>118.0</v>
      </c>
      <c r="U308" s="588">
        <v>58.0</v>
      </c>
      <c r="V308" s="329"/>
      <c r="W308" s="329"/>
      <c r="X308" s="329"/>
      <c r="Y308" s="329"/>
      <c r="Z308" s="329"/>
      <c r="AA308" s="329"/>
    </row>
    <row r="309">
      <c r="B309" s="389" t="s">
        <v>3246</v>
      </c>
      <c r="C309" s="605" t="s">
        <v>4292</v>
      </c>
      <c r="D309" s="329"/>
      <c r="E309" s="329"/>
      <c r="F309" s="329"/>
      <c r="G309" s="588"/>
      <c r="H309" s="329"/>
      <c r="I309" s="329"/>
      <c r="J309" s="589"/>
      <c r="K309" s="589"/>
      <c r="L309" s="589"/>
      <c r="M309" s="590"/>
      <c r="N309" s="629"/>
      <c r="O309" s="589"/>
      <c r="P309" s="588" t="s">
        <v>4136</v>
      </c>
      <c r="Q309" s="329"/>
      <c r="R309" s="329"/>
      <c r="S309" s="329"/>
      <c r="T309" s="329"/>
      <c r="U309" s="329"/>
      <c r="V309" s="329"/>
      <c r="W309" s="329"/>
      <c r="X309" s="329"/>
      <c r="Y309" s="329"/>
      <c r="Z309" s="329"/>
      <c r="AA309" s="329"/>
    </row>
    <row r="310">
      <c r="B310" s="588" t="s">
        <v>3245</v>
      </c>
      <c r="C310" s="632" t="s">
        <v>4293</v>
      </c>
      <c r="D310" s="329"/>
      <c r="E310" s="329"/>
      <c r="F310" s="329"/>
      <c r="G310" s="329"/>
      <c r="H310" s="329"/>
      <c r="I310" s="329"/>
      <c r="J310" s="589"/>
      <c r="K310" s="589"/>
      <c r="L310" s="589"/>
      <c r="M310" s="630"/>
      <c r="N310" s="629"/>
      <c r="O310" s="589"/>
      <c r="P310" s="588" t="s">
        <v>4136</v>
      </c>
      <c r="Q310" s="329"/>
      <c r="R310" s="329"/>
      <c r="S310" s="329"/>
      <c r="T310" s="329"/>
      <c r="U310" s="329"/>
      <c r="V310" s="329"/>
      <c r="W310" s="329"/>
      <c r="X310" s="329"/>
      <c r="Y310" s="329"/>
      <c r="Z310" s="329"/>
      <c r="AA310" s="329"/>
    </row>
    <row r="311">
      <c r="B311" s="588" t="s">
        <v>3240</v>
      </c>
      <c r="C311" s="632" t="s">
        <v>4209</v>
      </c>
      <c r="D311" s="329"/>
      <c r="E311" s="329"/>
      <c r="F311" s="329"/>
      <c r="G311" s="329"/>
      <c r="H311" s="329"/>
      <c r="I311" s="329"/>
      <c r="J311" s="589"/>
      <c r="K311" s="589"/>
      <c r="L311" s="589"/>
      <c r="M311" s="590">
        <v>41878.0</v>
      </c>
      <c r="N311" s="629">
        <v>41243.0</v>
      </c>
      <c r="O311" s="589">
        <f t="shared" ref="O311:O312" si="13">M311-N311</f>
        <v>635</v>
      </c>
      <c r="P311" s="592" t="s">
        <v>4211</v>
      </c>
      <c r="Q311" s="329"/>
      <c r="R311" s="329"/>
      <c r="S311" s="329"/>
      <c r="T311" s="588">
        <v>468.0</v>
      </c>
      <c r="U311" s="588">
        <v>38.0</v>
      </c>
      <c r="V311" s="329"/>
      <c r="W311" s="329"/>
      <c r="X311" s="329"/>
      <c r="Y311" s="329"/>
      <c r="Z311" s="329"/>
      <c r="AA311" s="329"/>
    </row>
    <row r="312">
      <c r="B312" s="588" t="s">
        <v>3239</v>
      </c>
      <c r="C312" s="632" t="s">
        <v>3277</v>
      </c>
      <c r="D312" s="329"/>
      <c r="E312" s="329"/>
      <c r="F312" s="329"/>
      <c r="G312" s="588" t="s">
        <v>3728</v>
      </c>
      <c r="H312" s="329"/>
      <c r="I312" s="329"/>
      <c r="J312" s="589"/>
      <c r="K312" s="594" t="s">
        <v>3728</v>
      </c>
      <c r="L312" s="589"/>
      <c r="M312" s="590">
        <v>41311.0</v>
      </c>
      <c r="N312" s="629">
        <v>41243.0</v>
      </c>
      <c r="O312" s="589">
        <f t="shared" si="13"/>
        <v>68</v>
      </c>
      <c r="P312" s="592" t="s">
        <v>3279</v>
      </c>
      <c r="Q312" s="329"/>
      <c r="R312" s="329"/>
      <c r="S312" s="329"/>
      <c r="T312" s="588">
        <v>367.0</v>
      </c>
      <c r="U312" s="588">
        <v>6.0</v>
      </c>
      <c r="V312" s="329"/>
      <c r="W312" s="329"/>
      <c r="X312" s="329"/>
      <c r="Y312" s="329"/>
      <c r="Z312" s="329"/>
      <c r="AA312" s="329"/>
    </row>
    <row r="313">
      <c r="B313" s="633" t="s">
        <v>3234</v>
      </c>
      <c r="C313" s="633" t="s">
        <v>4212</v>
      </c>
      <c r="D313" s="329"/>
      <c r="E313" s="329"/>
      <c r="F313" s="329"/>
      <c r="G313" s="329"/>
      <c r="H313" s="329"/>
      <c r="I313" s="329"/>
      <c r="J313" s="589"/>
      <c r="K313" s="589"/>
      <c r="L313" s="589"/>
      <c r="M313" s="590"/>
      <c r="N313" s="629">
        <v>41243.0</v>
      </c>
      <c r="O313" s="589"/>
      <c r="P313" s="588" t="s">
        <v>4136</v>
      </c>
      <c r="Q313" s="329"/>
      <c r="R313" s="329"/>
      <c r="S313" s="329"/>
      <c r="T313" s="329"/>
      <c r="U313" s="329"/>
      <c r="V313" s="329"/>
      <c r="W313" s="329"/>
      <c r="X313" s="329"/>
      <c r="Y313" s="329"/>
      <c r="Z313" s="329"/>
      <c r="AA313" s="329"/>
    </row>
    <row r="314">
      <c r="B314" s="633" t="s">
        <v>3233</v>
      </c>
      <c r="C314" s="633" t="s">
        <v>4294</v>
      </c>
      <c r="D314" s="329"/>
      <c r="E314" s="329"/>
      <c r="F314" s="329"/>
      <c r="G314" s="329"/>
      <c r="H314" s="329"/>
      <c r="I314" s="329"/>
      <c r="J314" s="589"/>
      <c r="K314" s="589"/>
      <c r="L314" s="589"/>
      <c r="M314" s="590">
        <v>41669.0</v>
      </c>
      <c r="N314" s="629">
        <v>41243.0</v>
      </c>
      <c r="O314" s="589">
        <f>M314-N314</f>
        <v>426</v>
      </c>
      <c r="P314" s="592" t="s">
        <v>4295</v>
      </c>
      <c r="Q314" s="329"/>
      <c r="R314" s="329"/>
      <c r="S314" s="329"/>
      <c r="T314" s="588">
        <v>1107.0</v>
      </c>
      <c r="U314" s="588">
        <v>103.0</v>
      </c>
      <c r="V314" s="329"/>
      <c r="W314" s="329"/>
      <c r="X314" s="329"/>
      <c r="Y314" s="329"/>
      <c r="Z314" s="329"/>
      <c r="AA314" s="329"/>
    </row>
    <row r="315">
      <c r="B315" s="633" t="s">
        <v>3232</v>
      </c>
      <c r="C315" s="633" t="s">
        <v>4296</v>
      </c>
      <c r="D315" s="329"/>
      <c r="E315" s="329"/>
      <c r="F315" s="329"/>
      <c r="G315" s="329"/>
      <c r="H315" s="329"/>
      <c r="I315" s="329"/>
      <c r="J315" s="589"/>
      <c r="K315" s="589"/>
      <c r="L315" s="589"/>
      <c r="M315" s="630"/>
      <c r="N315" s="629">
        <v>41243.0</v>
      </c>
      <c r="O315" s="589"/>
      <c r="P315" s="588" t="s">
        <v>4136</v>
      </c>
      <c r="Q315" s="329"/>
      <c r="R315" s="329"/>
      <c r="S315" s="329"/>
      <c r="T315" s="329"/>
      <c r="U315" s="329"/>
      <c r="V315" s="329"/>
      <c r="W315" s="329"/>
      <c r="X315" s="329"/>
      <c r="Y315" s="329"/>
      <c r="Z315" s="329"/>
      <c r="AA315" s="329"/>
    </row>
    <row r="316">
      <c r="A316" s="92"/>
      <c r="B316" s="137"/>
      <c r="C316" s="137"/>
      <c r="D316" s="293"/>
      <c r="E316" s="293"/>
      <c r="F316" s="293"/>
      <c r="G316" s="293"/>
      <c r="J316" s="634"/>
      <c r="K316" s="635"/>
      <c r="L316" s="635"/>
      <c r="M316" s="636"/>
      <c r="N316" s="634"/>
      <c r="O316" s="634"/>
    </row>
    <row r="317">
      <c r="A317" s="92"/>
      <c r="B317" s="137"/>
      <c r="C317" s="137"/>
      <c r="D317" s="293"/>
      <c r="E317" s="293"/>
      <c r="F317" s="293"/>
      <c r="G317" s="293"/>
      <c r="J317" s="634"/>
      <c r="K317" s="635"/>
      <c r="L317" s="635"/>
      <c r="M317" s="636"/>
      <c r="N317" s="634"/>
      <c r="O317" s="634"/>
    </row>
    <row r="318">
      <c r="A318" s="92"/>
      <c r="B318" s="137"/>
      <c r="C318" s="137"/>
      <c r="D318" s="293"/>
      <c r="E318" s="293"/>
      <c r="F318" s="293"/>
      <c r="G318" s="293"/>
      <c r="J318" s="634"/>
      <c r="K318" s="635"/>
      <c r="L318" s="635"/>
      <c r="M318" s="636"/>
      <c r="N318" s="634"/>
      <c r="O318" s="634"/>
    </row>
    <row r="319">
      <c r="A319" s="92"/>
      <c r="B319" s="137"/>
      <c r="C319" s="137"/>
      <c r="D319" s="293"/>
      <c r="E319" s="293"/>
      <c r="F319" s="293"/>
      <c r="G319" s="293"/>
      <c r="J319" s="634"/>
      <c r="K319" s="635"/>
      <c r="L319" s="635"/>
      <c r="M319" s="636"/>
      <c r="N319" s="634"/>
      <c r="O319" s="634"/>
    </row>
    <row r="320">
      <c r="A320" s="92"/>
      <c r="B320" s="137"/>
      <c r="C320" s="137"/>
      <c r="D320" s="293"/>
      <c r="E320" s="293"/>
      <c r="F320" s="293"/>
      <c r="G320" s="293"/>
      <c r="J320" s="634"/>
      <c r="K320" s="635"/>
      <c r="L320" s="635"/>
      <c r="M320" s="636"/>
      <c r="N320" s="634"/>
      <c r="O320" s="634"/>
    </row>
    <row r="321">
      <c r="A321" s="92"/>
      <c r="B321" s="137"/>
      <c r="C321" s="137"/>
      <c r="D321" s="293"/>
      <c r="E321" s="293"/>
      <c r="F321" s="293"/>
      <c r="G321" s="293"/>
      <c r="J321" s="634"/>
      <c r="K321" s="635"/>
      <c r="L321" s="635"/>
      <c r="M321" s="636"/>
      <c r="N321" s="634"/>
      <c r="O321" s="634"/>
    </row>
    <row r="322">
      <c r="A322" s="92"/>
      <c r="B322" s="137"/>
      <c r="C322" s="137"/>
      <c r="D322" s="293"/>
      <c r="E322" s="293"/>
      <c r="F322" s="293"/>
      <c r="G322" s="293"/>
      <c r="J322" s="634"/>
      <c r="K322" s="635"/>
      <c r="L322" s="635"/>
      <c r="M322" s="636"/>
      <c r="N322" s="634"/>
      <c r="O322" s="634"/>
    </row>
    <row r="323">
      <c r="A323" s="92"/>
      <c r="B323" s="137"/>
      <c r="C323" s="137"/>
      <c r="D323" s="293"/>
      <c r="E323" s="293"/>
      <c r="F323" s="293"/>
      <c r="G323" s="293"/>
      <c r="J323" s="634"/>
      <c r="K323" s="635"/>
      <c r="L323" s="635"/>
      <c r="M323" s="636"/>
      <c r="N323" s="634"/>
      <c r="O323" s="634"/>
    </row>
    <row r="324">
      <c r="A324" s="92"/>
      <c r="B324" s="137"/>
      <c r="C324" s="137"/>
      <c r="D324" s="293"/>
      <c r="E324" s="293"/>
      <c r="F324" s="293"/>
      <c r="G324" s="293"/>
      <c r="J324" s="634"/>
      <c r="K324" s="635"/>
      <c r="L324" s="635"/>
      <c r="M324" s="636"/>
      <c r="N324" s="634"/>
      <c r="O324" s="634"/>
    </row>
    <row r="325">
      <c r="A325" s="92"/>
      <c r="B325" s="137"/>
      <c r="C325" s="137"/>
      <c r="D325" s="293"/>
      <c r="E325" s="293"/>
      <c r="F325" s="293"/>
      <c r="G325" s="293"/>
      <c r="J325" s="634"/>
      <c r="K325" s="635"/>
      <c r="L325" s="635"/>
      <c r="M325" s="636"/>
      <c r="N325" s="634"/>
      <c r="O325" s="634"/>
    </row>
    <row r="326">
      <c r="A326" s="92"/>
      <c r="B326" s="137"/>
      <c r="C326" s="137"/>
      <c r="D326" s="293"/>
      <c r="E326" s="293"/>
      <c r="F326" s="293"/>
      <c r="G326" s="293"/>
      <c r="J326" s="634"/>
      <c r="K326" s="635"/>
      <c r="L326" s="635"/>
      <c r="M326" s="636"/>
      <c r="N326" s="634"/>
      <c r="O326" s="634"/>
    </row>
    <row r="327">
      <c r="A327" s="92"/>
      <c r="B327" s="137"/>
      <c r="C327" s="137"/>
      <c r="D327" s="293"/>
      <c r="E327" s="293"/>
      <c r="F327" s="293"/>
      <c r="G327" s="293"/>
      <c r="J327" s="634"/>
      <c r="K327" s="635"/>
      <c r="L327" s="635"/>
      <c r="M327" s="636"/>
      <c r="N327" s="634"/>
      <c r="O327" s="634"/>
    </row>
    <row r="328">
      <c r="A328" s="92"/>
      <c r="B328" s="137"/>
      <c r="C328" s="137"/>
      <c r="D328" s="293"/>
      <c r="E328" s="293"/>
      <c r="F328" s="293"/>
      <c r="G328" s="293"/>
      <c r="J328" s="634"/>
      <c r="K328" s="635"/>
      <c r="L328" s="635"/>
      <c r="M328" s="636"/>
      <c r="N328" s="634"/>
      <c r="O328" s="634"/>
    </row>
    <row r="329">
      <c r="A329" s="92"/>
      <c r="B329" s="137"/>
      <c r="C329" s="137"/>
      <c r="D329" s="293"/>
      <c r="E329" s="293"/>
      <c r="F329" s="293"/>
      <c r="G329" s="293"/>
      <c r="J329" s="634"/>
      <c r="K329" s="635"/>
      <c r="L329" s="635"/>
      <c r="M329" s="636"/>
      <c r="N329" s="634"/>
      <c r="O329" s="634"/>
    </row>
    <row r="330">
      <c r="A330" s="92"/>
      <c r="B330" s="137"/>
      <c r="C330" s="137"/>
      <c r="D330" s="293"/>
      <c r="E330" s="293"/>
      <c r="F330" s="293"/>
      <c r="G330" s="293"/>
      <c r="J330" s="634"/>
      <c r="K330" s="635"/>
      <c r="L330" s="635"/>
      <c r="M330" s="636"/>
      <c r="N330" s="634"/>
      <c r="O330" s="634"/>
    </row>
    <row r="331">
      <c r="A331" s="92"/>
      <c r="B331" s="137"/>
      <c r="C331" s="137"/>
      <c r="D331" s="293"/>
      <c r="E331" s="293"/>
      <c r="F331" s="293"/>
      <c r="G331" s="293"/>
      <c r="J331" s="634"/>
      <c r="K331" s="635"/>
      <c r="L331" s="635"/>
      <c r="M331" s="636"/>
      <c r="N331" s="634"/>
      <c r="O331" s="634"/>
    </row>
    <row r="332">
      <c r="A332" s="92"/>
      <c r="B332" s="137"/>
      <c r="C332" s="137"/>
      <c r="D332" s="293"/>
      <c r="E332" s="293"/>
      <c r="F332" s="293"/>
      <c r="G332" s="293"/>
      <c r="J332" s="634"/>
      <c r="K332" s="635"/>
      <c r="L332" s="635"/>
      <c r="M332" s="636"/>
      <c r="N332" s="634"/>
      <c r="O332" s="634"/>
    </row>
    <row r="333">
      <c r="A333" s="92"/>
      <c r="B333" s="137"/>
      <c r="C333" s="137"/>
      <c r="D333" s="293"/>
      <c r="E333" s="293"/>
      <c r="F333" s="293"/>
      <c r="G333" s="293"/>
      <c r="J333" s="634"/>
      <c r="K333" s="635"/>
      <c r="L333" s="635"/>
      <c r="M333" s="636"/>
      <c r="N333" s="634"/>
      <c r="O333" s="634"/>
    </row>
    <row r="334">
      <c r="A334" s="92"/>
      <c r="B334" s="137"/>
      <c r="C334" s="137"/>
      <c r="D334" s="293"/>
      <c r="E334" s="293"/>
      <c r="F334" s="293"/>
      <c r="G334" s="293"/>
      <c r="J334" s="634"/>
      <c r="K334" s="635"/>
      <c r="L334" s="635"/>
      <c r="M334" s="636"/>
      <c r="N334" s="634"/>
      <c r="O334" s="634"/>
    </row>
    <row r="335">
      <c r="A335" s="92"/>
      <c r="B335" s="137"/>
      <c r="C335" s="137"/>
      <c r="D335" s="293"/>
      <c r="E335" s="293"/>
      <c r="F335" s="293"/>
      <c r="G335" s="293"/>
      <c r="J335" s="634"/>
      <c r="K335" s="635"/>
      <c r="L335" s="635"/>
      <c r="M335" s="636"/>
      <c r="N335" s="634"/>
      <c r="O335" s="634"/>
    </row>
    <row r="336">
      <c r="A336" s="92"/>
      <c r="B336" s="137"/>
      <c r="C336" s="137"/>
      <c r="D336" s="293"/>
      <c r="E336" s="293"/>
      <c r="F336" s="293"/>
      <c r="G336" s="293"/>
      <c r="J336" s="634"/>
      <c r="K336" s="635"/>
      <c r="L336" s="635"/>
      <c r="M336" s="636"/>
      <c r="N336" s="634"/>
      <c r="O336" s="634"/>
    </row>
    <row r="337">
      <c r="A337" s="92"/>
      <c r="B337" s="137"/>
      <c r="C337" s="137"/>
      <c r="D337" s="293"/>
      <c r="E337" s="293"/>
      <c r="F337" s="293"/>
      <c r="G337" s="293"/>
      <c r="J337" s="634"/>
      <c r="K337" s="635"/>
      <c r="L337" s="635"/>
      <c r="M337" s="636"/>
      <c r="N337" s="634"/>
      <c r="O337" s="634"/>
    </row>
    <row r="338">
      <c r="A338" s="92"/>
      <c r="B338" s="137"/>
      <c r="C338" s="137"/>
      <c r="D338" s="293"/>
      <c r="E338" s="293"/>
      <c r="F338" s="293"/>
      <c r="G338" s="293"/>
      <c r="J338" s="634"/>
      <c r="K338" s="635"/>
      <c r="L338" s="635"/>
      <c r="M338" s="636"/>
      <c r="N338" s="634"/>
      <c r="O338" s="634"/>
    </row>
    <row r="339">
      <c r="A339" s="92"/>
      <c r="B339" s="137"/>
      <c r="C339" s="137"/>
      <c r="D339" s="293"/>
      <c r="E339" s="293"/>
      <c r="F339" s="293"/>
      <c r="G339" s="293"/>
      <c r="J339" s="634"/>
      <c r="K339" s="635"/>
      <c r="L339" s="635"/>
      <c r="M339" s="636"/>
      <c r="N339" s="634"/>
      <c r="O339" s="634"/>
    </row>
    <row r="340">
      <c r="A340" s="92"/>
      <c r="B340" s="137"/>
      <c r="C340" s="137"/>
      <c r="D340" s="293"/>
      <c r="E340" s="293"/>
      <c r="F340" s="293"/>
      <c r="G340" s="293"/>
      <c r="J340" s="634"/>
      <c r="K340" s="635"/>
      <c r="L340" s="635"/>
      <c r="M340" s="636"/>
      <c r="N340" s="634"/>
      <c r="O340" s="634"/>
    </row>
    <row r="341">
      <c r="A341" s="92"/>
      <c r="B341" s="137"/>
      <c r="C341" s="137"/>
      <c r="D341" s="293"/>
      <c r="E341" s="293"/>
      <c r="F341" s="293"/>
      <c r="G341" s="293"/>
      <c r="J341" s="634"/>
      <c r="K341" s="635"/>
      <c r="L341" s="635"/>
      <c r="M341" s="636"/>
      <c r="N341" s="634"/>
      <c r="O341" s="634"/>
    </row>
    <row r="342">
      <c r="A342" s="92"/>
      <c r="B342" s="137"/>
      <c r="C342" s="137"/>
      <c r="D342" s="293"/>
      <c r="E342" s="293"/>
      <c r="F342" s="293"/>
      <c r="G342" s="293"/>
      <c r="J342" s="634"/>
      <c r="K342" s="635"/>
      <c r="L342" s="635"/>
      <c r="M342" s="636"/>
      <c r="N342" s="634"/>
      <c r="O342" s="634"/>
    </row>
    <row r="343">
      <c r="A343" s="92"/>
      <c r="B343" s="137"/>
      <c r="C343" s="137"/>
      <c r="D343" s="293"/>
      <c r="E343" s="293"/>
      <c r="F343" s="293"/>
      <c r="G343" s="293"/>
      <c r="J343" s="634"/>
      <c r="K343" s="635"/>
      <c r="L343" s="635"/>
      <c r="M343" s="636"/>
      <c r="N343" s="634"/>
      <c r="O343" s="634"/>
    </row>
    <row r="344">
      <c r="A344" s="92"/>
      <c r="B344" s="137"/>
      <c r="C344" s="137"/>
      <c r="D344" s="293"/>
      <c r="E344" s="293"/>
      <c r="F344" s="293"/>
      <c r="G344" s="293"/>
      <c r="J344" s="634"/>
      <c r="K344" s="635"/>
      <c r="L344" s="635"/>
      <c r="M344" s="636"/>
      <c r="N344" s="634"/>
      <c r="O344" s="634"/>
    </row>
    <row r="345">
      <c r="A345" s="92"/>
      <c r="B345" s="137"/>
      <c r="C345" s="137"/>
      <c r="D345" s="293"/>
      <c r="E345" s="293"/>
      <c r="F345" s="293"/>
      <c r="G345" s="293"/>
      <c r="J345" s="634"/>
      <c r="K345" s="635"/>
      <c r="L345" s="635"/>
      <c r="M345" s="636"/>
      <c r="N345" s="634"/>
      <c r="O345" s="634"/>
    </row>
    <row r="346">
      <c r="A346" s="92"/>
      <c r="B346" s="137"/>
      <c r="C346" s="137"/>
      <c r="D346" s="293"/>
      <c r="E346" s="293"/>
      <c r="F346" s="293"/>
      <c r="G346" s="293"/>
      <c r="J346" s="634"/>
      <c r="K346" s="635"/>
      <c r="L346" s="635"/>
      <c r="M346" s="636"/>
      <c r="N346" s="634"/>
      <c r="O346" s="634"/>
    </row>
    <row r="347">
      <c r="A347" s="92"/>
      <c r="B347" s="137"/>
      <c r="C347" s="137"/>
      <c r="D347" s="293"/>
      <c r="E347" s="293"/>
      <c r="F347" s="293"/>
      <c r="G347" s="293"/>
      <c r="J347" s="634"/>
      <c r="K347" s="635"/>
      <c r="L347" s="635"/>
      <c r="M347" s="636"/>
      <c r="N347" s="634"/>
      <c r="O347" s="634"/>
    </row>
    <row r="348">
      <c r="A348" s="92"/>
      <c r="B348" s="137"/>
      <c r="C348" s="137"/>
      <c r="D348" s="293"/>
      <c r="E348" s="293"/>
      <c r="F348" s="293"/>
      <c r="G348" s="293"/>
      <c r="J348" s="634"/>
      <c r="K348" s="635"/>
      <c r="L348" s="635"/>
      <c r="M348" s="636"/>
      <c r="N348" s="634"/>
      <c r="O348" s="634"/>
    </row>
    <row r="349">
      <c r="A349" s="92"/>
      <c r="B349" s="137"/>
      <c r="C349" s="137"/>
      <c r="D349" s="293"/>
      <c r="E349" s="293"/>
      <c r="F349" s="293"/>
      <c r="G349" s="293"/>
      <c r="J349" s="634"/>
      <c r="K349" s="635"/>
      <c r="L349" s="635"/>
      <c r="M349" s="636"/>
      <c r="N349" s="634"/>
      <c r="O349" s="634"/>
    </row>
    <row r="350">
      <c r="A350" s="92"/>
      <c r="B350" s="137"/>
      <c r="C350" s="137"/>
      <c r="D350" s="293"/>
      <c r="E350" s="293"/>
      <c r="F350" s="293"/>
      <c r="G350" s="293"/>
      <c r="J350" s="634"/>
      <c r="K350" s="635"/>
      <c r="L350" s="635"/>
      <c r="M350" s="636"/>
      <c r="N350" s="634"/>
      <c r="O350" s="634"/>
    </row>
    <row r="351">
      <c r="A351" s="92"/>
      <c r="B351" s="137"/>
      <c r="C351" s="137"/>
      <c r="D351" s="293"/>
      <c r="E351" s="293"/>
      <c r="F351" s="293"/>
      <c r="G351" s="293"/>
      <c r="J351" s="634"/>
      <c r="K351" s="635"/>
      <c r="L351" s="635"/>
      <c r="M351" s="636"/>
      <c r="N351" s="634"/>
      <c r="O351" s="634"/>
    </row>
    <row r="352">
      <c r="A352" s="92"/>
      <c r="B352" s="137"/>
      <c r="C352" s="137"/>
      <c r="D352" s="293"/>
      <c r="E352" s="293"/>
      <c r="F352" s="293"/>
      <c r="G352" s="293"/>
      <c r="J352" s="634"/>
      <c r="K352" s="635"/>
      <c r="L352" s="635"/>
      <c r="M352" s="636"/>
      <c r="N352" s="634"/>
      <c r="O352" s="634"/>
    </row>
    <row r="353">
      <c r="A353" s="92"/>
      <c r="B353" s="137"/>
      <c r="C353" s="137"/>
      <c r="D353" s="293"/>
      <c r="E353" s="293"/>
      <c r="F353" s="293"/>
      <c r="G353" s="293"/>
      <c r="J353" s="634"/>
      <c r="K353" s="635"/>
      <c r="L353" s="635"/>
      <c r="M353" s="636"/>
      <c r="N353" s="634"/>
      <c r="O353" s="634"/>
    </row>
    <row r="354">
      <c r="A354" s="92"/>
      <c r="B354" s="137"/>
      <c r="C354" s="137"/>
      <c r="D354" s="293"/>
      <c r="E354" s="293"/>
      <c r="F354" s="293"/>
      <c r="G354" s="293"/>
      <c r="J354" s="634"/>
      <c r="K354" s="635"/>
      <c r="L354" s="635"/>
      <c r="M354" s="636"/>
      <c r="N354" s="634"/>
      <c r="O354" s="634"/>
    </row>
    <row r="355">
      <c r="A355" s="92"/>
      <c r="B355" s="137"/>
      <c r="C355" s="137"/>
      <c r="D355" s="293"/>
      <c r="E355" s="293"/>
      <c r="F355" s="293"/>
      <c r="G355" s="293"/>
      <c r="J355" s="634"/>
      <c r="K355" s="635"/>
      <c r="L355" s="635"/>
      <c r="M355" s="636"/>
      <c r="N355" s="634"/>
      <c r="O355" s="634"/>
    </row>
    <row r="356">
      <c r="A356" s="92"/>
      <c r="B356" s="137"/>
      <c r="C356" s="137"/>
      <c r="D356" s="293"/>
      <c r="E356" s="293"/>
      <c r="F356" s="293"/>
      <c r="G356" s="293"/>
      <c r="J356" s="634"/>
      <c r="K356" s="635"/>
      <c r="L356" s="635"/>
      <c r="M356" s="636"/>
      <c r="N356" s="634"/>
      <c r="O356" s="634"/>
    </row>
    <row r="357">
      <c r="A357" s="92"/>
      <c r="B357" s="137"/>
      <c r="C357" s="137"/>
      <c r="D357" s="293"/>
      <c r="E357" s="293"/>
      <c r="F357" s="293"/>
      <c r="G357" s="293"/>
      <c r="J357" s="634"/>
      <c r="K357" s="635"/>
      <c r="L357" s="635"/>
      <c r="M357" s="636"/>
      <c r="N357" s="634"/>
      <c r="O357" s="634"/>
    </row>
    <row r="358">
      <c r="A358" s="92"/>
      <c r="C358" s="637"/>
      <c r="D358" s="293"/>
      <c r="E358" s="293"/>
      <c r="F358" s="293"/>
      <c r="G358" s="293"/>
      <c r="J358" s="634"/>
      <c r="K358" s="635"/>
      <c r="L358" s="635"/>
      <c r="M358" s="636"/>
      <c r="N358" s="634"/>
      <c r="O358" s="634"/>
    </row>
    <row r="359">
      <c r="A359" s="92"/>
      <c r="C359" s="637"/>
      <c r="D359" s="293"/>
      <c r="E359" s="293"/>
      <c r="F359" s="293"/>
      <c r="G359" s="293"/>
      <c r="J359" s="634"/>
      <c r="K359" s="635"/>
      <c r="L359" s="635"/>
      <c r="M359" s="636"/>
      <c r="N359" s="634"/>
      <c r="O359" s="634"/>
    </row>
    <row r="360">
      <c r="A360" s="92"/>
      <c r="C360" s="637"/>
      <c r="D360" s="293"/>
      <c r="E360" s="293"/>
      <c r="F360" s="293"/>
      <c r="G360" s="293"/>
      <c r="J360" s="634"/>
      <c r="K360" s="635"/>
      <c r="L360" s="635"/>
      <c r="M360" s="636"/>
      <c r="N360" s="634"/>
      <c r="O360" s="634"/>
    </row>
    <row r="361">
      <c r="A361" s="92"/>
      <c r="C361" s="637"/>
      <c r="D361" s="293"/>
      <c r="E361" s="293"/>
      <c r="F361" s="293"/>
      <c r="G361" s="293"/>
      <c r="J361" s="634"/>
      <c r="K361" s="635"/>
      <c r="L361" s="635"/>
      <c r="M361" s="636"/>
      <c r="N361" s="634"/>
      <c r="O361" s="634"/>
    </row>
    <row r="362">
      <c r="A362" s="92"/>
      <c r="C362" s="637"/>
      <c r="D362" s="293"/>
      <c r="E362" s="293"/>
      <c r="F362" s="293"/>
      <c r="G362" s="293"/>
      <c r="J362" s="634"/>
      <c r="K362" s="635"/>
      <c r="L362" s="635"/>
      <c r="M362" s="636"/>
      <c r="N362" s="634"/>
      <c r="O362" s="634"/>
    </row>
    <row r="363">
      <c r="A363" s="92"/>
      <c r="C363" s="637"/>
      <c r="D363" s="293"/>
      <c r="E363" s="293"/>
      <c r="F363" s="293"/>
      <c r="G363" s="293"/>
      <c r="J363" s="634"/>
      <c r="K363" s="635"/>
      <c r="L363" s="635"/>
      <c r="M363" s="636"/>
      <c r="N363" s="634"/>
      <c r="O363" s="634"/>
    </row>
    <row r="364">
      <c r="A364" s="92"/>
      <c r="C364" s="637"/>
      <c r="D364" s="293"/>
      <c r="E364" s="293"/>
      <c r="F364" s="293"/>
      <c r="G364" s="293"/>
      <c r="J364" s="634"/>
      <c r="K364" s="635"/>
      <c r="L364" s="635"/>
      <c r="M364" s="636"/>
      <c r="N364" s="634"/>
      <c r="O364" s="634"/>
    </row>
    <row r="365">
      <c r="A365" s="92"/>
      <c r="C365" s="637"/>
      <c r="D365" s="293"/>
      <c r="E365" s="293"/>
      <c r="F365" s="293"/>
      <c r="G365" s="293"/>
      <c r="J365" s="634"/>
      <c r="K365" s="635"/>
      <c r="L365" s="635"/>
      <c r="M365" s="636"/>
      <c r="N365" s="634"/>
      <c r="O365" s="634"/>
    </row>
    <row r="366">
      <c r="A366" s="92"/>
      <c r="C366" s="637"/>
      <c r="D366" s="293"/>
      <c r="E366" s="293"/>
      <c r="F366" s="293"/>
      <c r="G366" s="293"/>
      <c r="J366" s="634"/>
      <c r="K366" s="635"/>
      <c r="L366" s="635"/>
      <c r="M366" s="636"/>
      <c r="N366" s="634"/>
      <c r="O366" s="634"/>
    </row>
    <row r="367">
      <c r="A367" s="92"/>
      <c r="C367" s="637"/>
      <c r="D367" s="293"/>
      <c r="E367" s="293"/>
      <c r="F367" s="293"/>
      <c r="G367" s="293"/>
      <c r="J367" s="634"/>
      <c r="K367" s="635"/>
      <c r="L367" s="635"/>
      <c r="M367" s="636"/>
      <c r="N367" s="634"/>
      <c r="O367" s="634"/>
    </row>
    <row r="368">
      <c r="A368" s="92"/>
      <c r="C368" s="637"/>
      <c r="D368" s="293"/>
      <c r="E368" s="293"/>
      <c r="F368" s="293"/>
      <c r="G368" s="293"/>
      <c r="J368" s="634"/>
      <c r="K368" s="635"/>
      <c r="L368" s="635"/>
      <c r="M368" s="636"/>
      <c r="N368" s="634"/>
      <c r="O368" s="634"/>
    </row>
    <row r="369">
      <c r="A369" s="92"/>
      <c r="C369" s="637"/>
      <c r="D369" s="293"/>
      <c r="E369" s="293"/>
      <c r="F369" s="293"/>
      <c r="G369" s="293"/>
      <c r="J369" s="634"/>
      <c r="K369" s="635"/>
      <c r="L369" s="635"/>
      <c r="M369" s="636"/>
      <c r="N369" s="634"/>
      <c r="O369" s="634"/>
    </row>
    <row r="370">
      <c r="A370" s="92"/>
      <c r="C370" s="637"/>
      <c r="D370" s="293"/>
      <c r="E370" s="293"/>
      <c r="F370" s="293"/>
      <c r="G370" s="293"/>
      <c r="J370" s="634"/>
      <c r="K370" s="635"/>
      <c r="L370" s="635"/>
      <c r="M370" s="636"/>
      <c r="N370" s="634"/>
      <c r="O370" s="634"/>
    </row>
    <row r="371">
      <c r="A371" s="92"/>
      <c r="C371" s="637"/>
      <c r="D371" s="293"/>
      <c r="E371" s="293"/>
      <c r="F371" s="293"/>
      <c r="G371" s="293"/>
      <c r="J371" s="634"/>
      <c r="K371" s="635"/>
      <c r="L371" s="635"/>
      <c r="M371" s="636"/>
      <c r="N371" s="634"/>
      <c r="O371" s="634"/>
    </row>
    <row r="372">
      <c r="A372" s="92"/>
      <c r="C372" s="637"/>
      <c r="D372" s="293"/>
      <c r="E372" s="293"/>
      <c r="F372" s="293"/>
      <c r="G372" s="293"/>
      <c r="J372" s="634"/>
      <c r="K372" s="635"/>
      <c r="L372" s="635"/>
      <c r="M372" s="636"/>
      <c r="N372" s="634"/>
      <c r="O372" s="634"/>
    </row>
    <row r="373">
      <c r="A373" s="92"/>
      <c r="C373" s="637"/>
      <c r="D373" s="293"/>
      <c r="E373" s="293"/>
      <c r="F373" s="293"/>
      <c r="G373" s="293"/>
      <c r="J373" s="634"/>
      <c r="K373" s="635"/>
      <c r="L373" s="635"/>
      <c r="M373" s="636"/>
      <c r="N373" s="634"/>
      <c r="O373" s="634"/>
    </row>
    <row r="374">
      <c r="A374" s="92"/>
      <c r="C374" s="637"/>
      <c r="D374" s="293"/>
      <c r="E374" s="293"/>
      <c r="F374" s="293"/>
      <c r="G374" s="293"/>
      <c r="J374" s="634"/>
      <c r="K374" s="635"/>
      <c r="L374" s="635"/>
      <c r="M374" s="636"/>
      <c r="N374" s="634"/>
      <c r="O374" s="634"/>
    </row>
    <row r="375">
      <c r="A375" s="92"/>
      <c r="C375" s="637"/>
      <c r="D375" s="293"/>
      <c r="E375" s="293"/>
      <c r="F375" s="293"/>
      <c r="G375" s="293"/>
      <c r="J375" s="634"/>
      <c r="K375" s="635"/>
      <c r="L375" s="635"/>
      <c r="M375" s="636"/>
      <c r="N375" s="634"/>
      <c r="O375" s="634"/>
    </row>
    <row r="376">
      <c r="A376" s="92"/>
      <c r="C376" s="637"/>
      <c r="D376" s="293"/>
      <c r="E376" s="293"/>
      <c r="F376" s="293"/>
      <c r="G376" s="293"/>
      <c r="J376" s="634"/>
      <c r="K376" s="635"/>
      <c r="L376" s="635"/>
      <c r="M376" s="636"/>
      <c r="N376" s="634"/>
      <c r="O376" s="634"/>
    </row>
    <row r="377">
      <c r="A377" s="92"/>
      <c r="C377" s="637"/>
      <c r="D377" s="293"/>
      <c r="E377" s="293"/>
      <c r="F377" s="293"/>
      <c r="G377" s="293"/>
      <c r="J377" s="634"/>
      <c r="K377" s="635"/>
      <c r="L377" s="635"/>
      <c r="M377" s="636"/>
      <c r="N377" s="634"/>
      <c r="O377" s="634"/>
    </row>
    <row r="378">
      <c r="A378" s="92"/>
      <c r="C378" s="637"/>
      <c r="D378" s="293"/>
      <c r="E378" s="293"/>
      <c r="F378" s="293"/>
      <c r="G378" s="293"/>
      <c r="J378" s="634"/>
      <c r="K378" s="635"/>
      <c r="L378" s="635"/>
      <c r="M378" s="636"/>
      <c r="N378" s="634"/>
      <c r="O378" s="634"/>
    </row>
    <row r="379">
      <c r="A379" s="92"/>
      <c r="C379" s="637"/>
      <c r="D379" s="293"/>
      <c r="E379" s="293"/>
      <c r="F379" s="293"/>
      <c r="G379" s="293"/>
      <c r="J379" s="634"/>
      <c r="K379" s="635"/>
      <c r="L379" s="635"/>
      <c r="M379" s="636"/>
      <c r="N379" s="634"/>
      <c r="O379" s="634"/>
    </row>
    <row r="380">
      <c r="A380" s="92"/>
      <c r="C380" s="637"/>
      <c r="D380" s="293"/>
      <c r="E380" s="293"/>
      <c r="F380" s="293"/>
      <c r="G380" s="293"/>
      <c r="J380" s="634"/>
      <c r="K380" s="635"/>
      <c r="L380" s="635"/>
      <c r="M380" s="636"/>
      <c r="N380" s="634"/>
      <c r="O380" s="634"/>
    </row>
    <row r="381">
      <c r="A381" s="92"/>
      <c r="C381" s="637"/>
      <c r="D381" s="293"/>
      <c r="E381" s="293"/>
      <c r="F381" s="293"/>
      <c r="G381" s="293"/>
      <c r="J381" s="634"/>
      <c r="K381" s="635"/>
      <c r="L381" s="635"/>
      <c r="M381" s="636"/>
      <c r="N381" s="634"/>
      <c r="O381" s="634"/>
    </row>
    <row r="382">
      <c r="A382" s="92"/>
      <c r="C382" s="637"/>
      <c r="D382" s="293"/>
      <c r="E382" s="293"/>
      <c r="F382" s="293"/>
      <c r="G382" s="293"/>
      <c r="J382" s="634"/>
      <c r="K382" s="635"/>
      <c r="L382" s="635"/>
      <c r="M382" s="636"/>
      <c r="N382" s="634"/>
      <c r="O382" s="634"/>
    </row>
    <row r="383">
      <c r="A383" s="92"/>
      <c r="C383" s="637"/>
      <c r="D383" s="293"/>
      <c r="E383" s="293"/>
      <c r="F383" s="293"/>
      <c r="G383" s="293"/>
      <c r="J383" s="634"/>
      <c r="K383" s="635"/>
      <c r="L383" s="635"/>
      <c r="M383" s="636"/>
      <c r="N383" s="634"/>
      <c r="O383" s="634"/>
    </row>
    <row r="384">
      <c r="A384" s="92"/>
      <c r="C384" s="637"/>
      <c r="D384" s="293"/>
      <c r="E384" s="293"/>
      <c r="F384" s="293"/>
      <c r="G384" s="293"/>
      <c r="J384" s="634"/>
      <c r="K384" s="635"/>
      <c r="L384" s="635"/>
      <c r="M384" s="636"/>
      <c r="N384" s="634"/>
      <c r="O384" s="634"/>
    </row>
    <row r="385">
      <c r="A385" s="92"/>
      <c r="C385" s="637"/>
      <c r="D385" s="293"/>
      <c r="E385" s="293"/>
      <c r="F385" s="293"/>
      <c r="G385" s="293"/>
      <c r="J385" s="634"/>
      <c r="K385" s="635"/>
      <c r="L385" s="635"/>
      <c r="M385" s="636"/>
      <c r="N385" s="634"/>
      <c r="O385" s="634"/>
    </row>
    <row r="386">
      <c r="A386" s="92"/>
      <c r="C386" s="637"/>
      <c r="D386" s="293"/>
      <c r="E386" s="293"/>
      <c r="F386" s="293"/>
      <c r="G386" s="293"/>
      <c r="J386" s="634"/>
      <c r="K386" s="635"/>
      <c r="L386" s="635"/>
      <c r="M386" s="636"/>
      <c r="N386" s="634"/>
      <c r="O386" s="634"/>
    </row>
    <row r="387">
      <c r="A387" s="92"/>
      <c r="C387" s="637"/>
      <c r="D387" s="293"/>
      <c r="E387" s="293"/>
      <c r="F387" s="293"/>
      <c r="G387" s="293"/>
      <c r="J387" s="634"/>
      <c r="K387" s="635"/>
      <c r="L387" s="635"/>
      <c r="M387" s="636"/>
      <c r="N387" s="634"/>
      <c r="O387" s="634"/>
    </row>
    <row r="388">
      <c r="A388" s="92"/>
      <c r="C388" s="637"/>
      <c r="D388" s="293"/>
      <c r="E388" s="293"/>
      <c r="F388" s="293"/>
      <c r="G388" s="293"/>
      <c r="J388" s="634"/>
      <c r="K388" s="635"/>
      <c r="L388" s="635"/>
      <c r="M388" s="636"/>
      <c r="N388" s="634"/>
      <c r="O388" s="634"/>
    </row>
    <row r="389">
      <c r="A389" s="92"/>
      <c r="C389" s="637"/>
      <c r="D389" s="293"/>
      <c r="E389" s="293"/>
      <c r="F389" s="293"/>
      <c r="G389" s="293"/>
      <c r="J389" s="634"/>
      <c r="K389" s="635"/>
      <c r="L389" s="635"/>
      <c r="M389" s="636"/>
      <c r="N389" s="634"/>
      <c r="O389" s="634"/>
    </row>
    <row r="390">
      <c r="A390" s="92"/>
      <c r="C390" s="637"/>
      <c r="D390" s="293"/>
      <c r="E390" s="293"/>
      <c r="F390" s="293"/>
      <c r="G390" s="293"/>
      <c r="J390" s="634"/>
      <c r="K390" s="635"/>
      <c r="L390" s="635"/>
      <c r="M390" s="636"/>
      <c r="N390" s="634"/>
      <c r="O390" s="634"/>
    </row>
    <row r="391">
      <c r="A391" s="92"/>
      <c r="C391" s="637"/>
      <c r="D391" s="293"/>
      <c r="E391" s="293"/>
      <c r="F391" s="293"/>
      <c r="G391" s="293"/>
      <c r="J391" s="634"/>
      <c r="K391" s="635"/>
      <c r="L391" s="635"/>
      <c r="M391" s="636"/>
      <c r="N391" s="634"/>
      <c r="O391" s="634"/>
    </row>
    <row r="392">
      <c r="A392" s="92"/>
      <c r="C392" s="637"/>
      <c r="D392" s="293"/>
      <c r="E392" s="293"/>
      <c r="F392" s="293"/>
      <c r="G392" s="293"/>
      <c r="J392" s="634"/>
      <c r="K392" s="635"/>
      <c r="L392" s="635"/>
      <c r="M392" s="636"/>
      <c r="N392" s="634"/>
      <c r="O392" s="634"/>
    </row>
    <row r="393">
      <c r="A393" s="92"/>
      <c r="C393" s="637"/>
      <c r="D393" s="293"/>
      <c r="E393" s="293"/>
      <c r="F393" s="293"/>
      <c r="G393" s="293"/>
      <c r="J393" s="634"/>
      <c r="K393" s="635"/>
      <c r="L393" s="635"/>
      <c r="M393" s="636"/>
      <c r="N393" s="634"/>
      <c r="O393" s="634"/>
    </row>
    <row r="394">
      <c r="A394" s="92"/>
      <c r="C394" s="637"/>
      <c r="D394" s="293"/>
      <c r="E394" s="293"/>
      <c r="F394" s="293"/>
      <c r="G394" s="293"/>
      <c r="J394" s="634"/>
      <c r="K394" s="635"/>
      <c r="L394" s="635"/>
      <c r="M394" s="636"/>
      <c r="N394" s="634"/>
      <c r="O394" s="634"/>
    </row>
    <row r="395">
      <c r="A395" s="92"/>
      <c r="C395" s="637"/>
      <c r="D395" s="293"/>
      <c r="E395" s="293"/>
      <c r="F395" s="293"/>
      <c r="G395" s="293"/>
      <c r="J395" s="634"/>
      <c r="K395" s="635"/>
      <c r="L395" s="635"/>
      <c r="M395" s="636"/>
      <c r="N395" s="634"/>
      <c r="O395" s="634"/>
    </row>
    <row r="396">
      <c r="A396" s="92"/>
      <c r="C396" s="637"/>
      <c r="D396" s="293"/>
      <c r="E396" s="293"/>
      <c r="F396" s="293"/>
      <c r="G396" s="293"/>
      <c r="J396" s="634"/>
      <c r="K396" s="635"/>
      <c r="L396" s="635"/>
      <c r="M396" s="636"/>
      <c r="N396" s="634"/>
      <c r="O396" s="634"/>
    </row>
    <row r="397">
      <c r="A397" s="92"/>
      <c r="C397" s="637"/>
      <c r="D397" s="293"/>
      <c r="E397" s="293"/>
      <c r="F397" s="293"/>
      <c r="G397" s="293"/>
      <c r="J397" s="634"/>
      <c r="K397" s="635"/>
      <c r="L397" s="635"/>
      <c r="M397" s="636"/>
      <c r="N397" s="634"/>
      <c r="O397" s="634"/>
    </row>
    <row r="398">
      <c r="A398" s="92"/>
      <c r="C398" s="637"/>
      <c r="D398" s="293"/>
      <c r="E398" s="293"/>
      <c r="F398" s="293"/>
      <c r="G398" s="293"/>
      <c r="J398" s="634"/>
      <c r="K398" s="635"/>
      <c r="L398" s="635"/>
      <c r="M398" s="636"/>
      <c r="N398" s="634"/>
      <c r="O398" s="634"/>
    </row>
    <row r="399">
      <c r="A399" s="92"/>
      <c r="C399" s="637"/>
      <c r="D399" s="293"/>
      <c r="E399" s="293"/>
      <c r="F399" s="293"/>
      <c r="G399" s="293"/>
      <c r="J399" s="634"/>
      <c r="K399" s="635"/>
      <c r="L399" s="635"/>
      <c r="M399" s="636"/>
      <c r="N399" s="634"/>
      <c r="O399" s="634"/>
    </row>
    <row r="400">
      <c r="A400" s="92"/>
      <c r="C400" s="637"/>
      <c r="D400" s="293"/>
      <c r="E400" s="293"/>
      <c r="F400" s="293"/>
      <c r="G400" s="293"/>
      <c r="J400" s="634"/>
      <c r="K400" s="635"/>
      <c r="L400" s="635"/>
      <c r="M400" s="636"/>
      <c r="N400" s="634"/>
      <c r="O400" s="634"/>
    </row>
    <row r="401">
      <c r="A401" s="92"/>
      <c r="C401" s="637"/>
      <c r="D401" s="293"/>
      <c r="E401" s="293"/>
      <c r="F401" s="293"/>
      <c r="G401" s="293"/>
      <c r="J401" s="634"/>
      <c r="K401" s="635"/>
      <c r="L401" s="635"/>
      <c r="M401" s="636"/>
      <c r="N401" s="634"/>
      <c r="O401" s="634"/>
    </row>
    <row r="402">
      <c r="A402" s="92"/>
      <c r="C402" s="637"/>
      <c r="D402" s="293"/>
      <c r="E402" s="293"/>
      <c r="F402" s="293"/>
      <c r="G402" s="293"/>
      <c r="J402" s="634"/>
      <c r="K402" s="635"/>
      <c r="L402" s="635"/>
      <c r="M402" s="636"/>
      <c r="N402" s="634"/>
      <c r="O402" s="634"/>
    </row>
    <row r="403">
      <c r="A403" s="92"/>
      <c r="C403" s="637"/>
      <c r="D403" s="293"/>
      <c r="E403" s="293"/>
      <c r="F403" s="293"/>
      <c r="G403" s="293"/>
      <c r="J403" s="634"/>
      <c r="K403" s="635"/>
      <c r="L403" s="635"/>
      <c r="M403" s="636"/>
      <c r="N403" s="634"/>
      <c r="O403" s="634"/>
    </row>
    <row r="404">
      <c r="A404" s="92"/>
      <c r="C404" s="637"/>
      <c r="D404" s="293"/>
      <c r="E404" s="293"/>
      <c r="F404" s="293"/>
      <c r="G404" s="293"/>
      <c r="J404" s="634"/>
      <c r="K404" s="635"/>
      <c r="L404" s="635"/>
      <c r="M404" s="636"/>
      <c r="N404" s="634"/>
      <c r="O404" s="634"/>
    </row>
    <row r="405">
      <c r="A405" s="92"/>
      <c r="C405" s="637"/>
      <c r="D405" s="293"/>
      <c r="E405" s="293"/>
      <c r="F405" s="293"/>
      <c r="G405" s="293"/>
      <c r="J405" s="634"/>
      <c r="K405" s="635"/>
      <c r="L405" s="635"/>
      <c r="M405" s="636"/>
      <c r="N405" s="634"/>
      <c r="O405" s="634"/>
    </row>
    <row r="406">
      <c r="A406" s="92"/>
      <c r="C406" s="637"/>
      <c r="D406" s="293"/>
      <c r="E406" s="293"/>
      <c r="F406" s="293"/>
      <c r="G406" s="293"/>
      <c r="J406" s="634"/>
      <c r="K406" s="635"/>
      <c r="L406" s="635"/>
      <c r="M406" s="636"/>
      <c r="N406" s="634"/>
      <c r="O406" s="634"/>
    </row>
    <row r="407">
      <c r="A407" s="92"/>
      <c r="C407" s="637"/>
      <c r="D407" s="293"/>
      <c r="E407" s="293"/>
      <c r="F407" s="293"/>
      <c r="G407" s="293"/>
      <c r="J407" s="634"/>
      <c r="K407" s="635"/>
      <c r="L407" s="635"/>
      <c r="M407" s="636"/>
      <c r="N407" s="634"/>
      <c r="O407" s="634"/>
    </row>
    <row r="408">
      <c r="A408" s="92"/>
      <c r="C408" s="637"/>
      <c r="D408" s="293"/>
      <c r="E408" s="293"/>
      <c r="F408" s="293"/>
      <c r="G408" s="293"/>
      <c r="J408" s="634"/>
      <c r="K408" s="635"/>
      <c r="L408" s="635"/>
      <c r="M408" s="636"/>
      <c r="N408" s="634"/>
      <c r="O408" s="634"/>
    </row>
    <row r="409">
      <c r="A409" s="92"/>
      <c r="C409" s="637"/>
      <c r="D409" s="293"/>
      <c r="E409" s="293"/>
      <c r="F409" s="293"/>
      <c r="G409" s="293"/>
      <c r="J409" s="634"/>
      <c r="K409" s="635"/>
      <c r="L409" s="635"/>
      <c r="M409" s="636"/>
      <c r="N409" s="634"/>
      <c r="O409" s="634"/>
    </row>
    <row r="410">
      <c r="A410" s="92"/>
      <c r="C410" s="637"/>
      <c r="D410" s="293"/>
      <c r="E410" s="293"/>
      <c r="F410" s="293"/>
      <c r="G410" s="293"/>
      <c r="J410" s="634"/>
      <c r="K410" s="635"/>
      <c r="L410" s="635"/>
      <c r="M410" s="636"/>
      <c r="N410" s="634"/>
      <c r="O410" s="634"/>
    </row>
    <row r="411">
      <c r="A411" s="92"/>
      <c r="C411" s="637"/>
      <c r="D411" s="293"/>
      <c r="E411" s="293"/>
      <c r="F411" s="293"/>
      <c r="G411" s="293"/>
      <c r="J411" s="634"/>
      <c r="K411" s="635"/>
      <c r="L411" s="635"/>
      <c r="M411" s="636"/>
      <c r="N411" s="634"/>
      <c r="O411" s="634"/>
    </row>
    <row r="412">
      <c r="A412" s="92"/>
      <c r="C412" s="637"/>
      <c r="D412" s="293"/>
      <c r="E412" s="293"/>
      <c r="F412" s="293"/>
      <c r="G412" s="293"/>
      <c r="J412" s="634"/>
      <c r="K412" s="635"/>
      <c r="L412" s="635"/>
      <c r="M412" s="636"/>
      <c r="N412" s="634"/>
      <c r="O412" s="634"/>
    </row>
    <row r="413">
      <c r="A413" s="92"/>
      <c r="C413" s="637"/>
      <c r="D413" s="293"/>
      <c r="E413" s="293"/>
      <c r="F413" s="293"/>
      <c r="G413" s="293"/>
      <c r="J413" s="634"/>
      <c r="K413" s="635"/>
      <c r="L413" s="635"/>
      <c r="M413" s="636"/>
      <c r="N413" s="634"/>
      <c r="O413" s="634"/>
    </row>
    <row r="414">
      <c r="A414" s="92"/>
      <c r="C414" s="637"/>
      <c r="D414" s="293"/>
      <c r="E414" s="293"/>
      <c r="F414" s="293"/>
      <c r="G414" s="293"/>
      <c r="J414" s="634"/>
      <c r="K414" s="635"/>
      <c r="L414" s="635"/>
      <c r="M414" s="636"/>
      <c r="N414" s="634"/>
      <c r="O414" s="634"/>
    </row>
    <row r="415">
      <c r="A415" s="92"/>
      <c r="C415" s="637"/>
      <c r="D415" s="293"/>
      <c r="E415" s="293"/>
      <c r="F415" s="293"/>
      <c r="G415" s="293"/>
      <c r="J415" s="634"/>
      <c r="K415" s="635"/>
      <c r="L415" s="635"/>
      <c r="M415" s="636"/>
      <c r="N415" s="634"/>
      <c r="O415" s="634"/>
    </row>
    <row r="416">
      <c r="A416" s="92"/>
      <c r="C416" s="637"/>
      <c r="D416" s="293"/>
      <c r="E416" s="293"/>
      <c r="F416" s="293"/>
      <c r="G416" s="293"/>
      <c r="J416" s="634"/>
      <c r="K416" s="635"/>
      <c r="L416" s="635"/>
      <c r="M416" s="636"/>
      <c r="N416" s="634"/>
      <c r="O416" s="634"/>
    </row>
    <row r="417">
      <c r="A417" s="92"/>
      <c r="C417" s="637"/>
      <c r="D417" s="293"/>
      <c r="E417" s="293"/>
      <c r="F417" s="293"/>
      <c r="G417" s="293"/>
      <c r="J417" s="634"/>
      <c r="K417" s="635"/>
      <c r="L417" s="635"/>
      <c r="M417" s="636"/>
      <c r="N417" s="634"/>
      <c r="O417" s="634"/>
    </row>
    <row r="418">
      <c r="A418" s="92"/>
      <c r="C418" s="637"/>
      <c r="D418" s="293"/>
      <c r="E418" s="293"/>
      <c r="F418" s="293"/>
      <c r="G418" s="293"/>
      <c r="J418" s="634"/>
      <c r="K418" s="635"/>
      <c r="L418" s="635"/>
      <c r="M418" s="636"/>
      <c r="N418" s="634"/>
      <c r="O418" s="634"/>
    </row>
    <row r="419">
      <c r="A419" s="92"/>
      <c r="C419" s="637"/>
      <c r="D419" s="293"/>
      <c r="E419" s="293"/>
      <c r="F419" s="293"/>
      <c r="G419" s="293"/>
      <c r="J419" s="634"/>
      <c r="K419" s="635"/>
      <c r="L419" s="635"/>
      <c r="M419" s="636"/>
      <c r="N419" s="634"/>
      <c r="O419" s="634"/>
    </row>
    <row r="420">
      <c r="A420" s="92"/>
      <c r="C420" s="637"/>
      <c r="D420" s="293"/>
      <c r="E420" s="293"/>
      <c r="F420" s="293"/>
      <c r="G420" s="293"/>
      <c r="J420" s="634"/>
      <c r="K420" s="635"/>
      <c r="L420" s="635"/>
      <c r="M420" s="636"/>
      <c r="N420" s="634"/>
      <c r="O420" s="634"/>
    </row>
    <row r="421">
      <c r="A421" s="92"/>
      <c r="C421" s="637"/>
      <c r="D421" s="293"/>
      <c r="E421" s="293"/>
      <c r="F421" s="293"/>
      <c r="G421" s="293"/>
      <c r="J421" s="634"/>
      <c r="K421" s="635"/>
      <c r="L421" s="635"/>
      <c r="M421" s="636"/>
      <c r="N421" s="634"/>
      <c r="O421" s="634"/>
    </row>
    <row r="422">
      <c r="A422" s="92"/>
      <c r="C422" s="637"/>
      <c r="D422" s="293"/>
      <c r="E422" s="293"/>
      <c r="F422" s="293"/>
      <c r="G422" s="293"/>
      <c r="J422" s="634"/>
      <c r="K422" s="635"/>
      <c r="L422" s="635"/>
      <c r="M422" s="636"/>
      <c r="N422" s="634"/>
      <c r="O422" s="634"/>
    </row>
    <row r="423">
      <c r="A423" s="92"/>
      <c r="C423" s="637"/>
      <c r="D423" s="293"/>
      <c r="E423" s="293"/>
      <c r="F423" s="293"/>
      <c r="G423" s="293"/>
      <c r="J423" s="634"/>
      <c r="K423" s="635"/>
      <c r="L423" s="635"/>
      <c r="M423" s="636"/>
      <c r="N423" s="634"/>
      <c r="O423" s="634"/>
    </row>
    <row r="424">
      <c r="A424" s="92"/>
      <c r="C424" s="637"/>
      <c r="D424" s="293"/>
      <c r="E424" s="293"/>
      <c r="F424" s="293"/>
      <c r="G424" s="293"/>
      <c r="J424" s="634"/>
      <c r="K424" s="635"/>
      <c r="L424" s="635"/>
      <c r="M424" s="636"/>
      <c r="N424" s="634"/>
      <c r="O424" s="634"/>
    </row>
    <row r="425">
      <c r="A425" s="92"/>
      <c r="C425" s="637"/>
      <c r="D425" s="293"/>
      <c r="E425" s="293"/>
      <c r="F425" s="293"/>
      <c r="G425" s="293"/>
      <c r="J425" s="634"/>
      <c r="K425" s="635"/>
      <c r="L425" s="635"/>
      <c r="M425" s="636"/>
      <c r="N425" s="634"/>
      <c r="O425" s="634"/>
    </row>
    <row r="426">
      <c r="A426" s="92"/>
      <c r="C426" s="637"/>
      <c r="D426" s="293"/>
      <c r="E426" s="293"/>
      <c r="F426" s="293"/>
      <c r="G426" s="293"/>
      <c r="J426" s="634"/>
      <c r="K426" s="635"/>
      <c r="L426" s="635"/>
      <c r="M426" s="636"/>
      <c r="N426" s="634"/>
      <c r="O426" s="634"/>
    </row>
    <row r="427">
      <c r="A427" s="92"/>
      <c r="C427" s="637"/>
      <c r="D427" s="293"/>
      <c r="E427" s="293"/>
      <c r="F427" s="293"/>
      <c r="G427" s="293"/>
      <c r="J427" s="634"/>
      <c r="K427" s="635"/>
      <c r="L427" s="635"/>
      <c r="M427" s="636"/>
      <c r="N427" s="634"/>
      <c r="O427" s="634"/>
    </row>
    <row r="428">
      <c r="A428" s="92"/>
      <c r="C428" s="637"/>
      <c r="D428" s="293"/>
      <c r="E428" s="293"/>
      <c r="F428" s="293"/>
      <c r="G428" s="293"/>
      <c r="J428" s="634"/>
      <c r="K428" s="635"/>
      <c r="L428" s="635"/>
      <c r="M428" s="636"/>
      <c r="N428" s="634"/>
      <c r="O428" s="634"/>
    </row>
    <row r="429">
      <c r="A429" s="92"/>
      <c r="C429" s="637"/>
      <c r="D429" s="293"/>
      <c r="E429" s="293"/>
      <c r="F429" s="293"/>
      <c r="G429" s="293"/>
      <c r="J429" s="634"/>
      <c r="K429" s="635"/>
      <c r="L429" s="635"/>
      <c r="M429" s="636"/>
      <c r="N429" s="634"/>
      <c r="O429" s="634"/>
    </row>
    <row r="430">
      <c r="A430" s="92"/>
      <c r="C430" s="637"/>
      <c r="D430" s="293"/>
      <c r="E430" s="293"/>
      <c r="F430" s="293"/>
      <c r="G430" s="293"/>
      <c r="J430" s="634"/>
      <c r="K430" s="635"/>
      <c r="L430" s="635"/>
      <c r="M430" s="636"/>
      <c r="N430" s="634"/>
      <c r="O430" s="634"/>
    </row>
    <row r="431">
      <c r="A431" s="92"/>
      <c r="C431" s="637"/>
      <c r="D431" s="293"/>
      <c r="E431" s="293"/>
      <c r="F431" s="293"/>
      <c r="G431" s="293"/>
      <c r="J431" s="634"/>
      <c r="K431" s="635"/>
      <c r="L431" s="635"/>
      <c r="M431" s="636"/>
      <c r="N431" s="634"/>
      <c r="O431" s="634"/>
    </row>
    <row r="432">
      <c r="A432" s="92"/>
      <c r="C432" s="637"/>
      <c r="D432" s="293"/>
      <c r="E432" s="293"/>
      <c r="F432" s="293"/>
      <c r="G432" s="293"/>
      <c r="J432" s="634"/>
      <c r="K432" s="635"/>
      <c r="L432" s="635"/>
      <c r="M432" s="636"/>
      <c r="N432" s="634"/>
      <c r="O432" s="634"/>
    </row>
    <row r="433">
      <c r="A433" s="92"/>
      <c r="C433" s="637"/>
      <c r="D433" s="293"/>
      <c r="E433" s="293"/>
      <c r="F433" s="293"/>
      <c r="G433" s="293"/>
      <c r="J433" s="634"/>
      <c r="K433" s="635"/>
      <c r="L433" s="635"/>
      <c r="M433" s="636"/>
      <c r="N433" s="634"/>
      <c r="O433" s="634"/>
    </row>
    <row r="434">
      <c r="A434" s="92"/>
      <c r="C434" s="637"/>
      <c r="D434" s="293"/>
      <c r="E434" s="293"/>
      <c r="F434" s="293"/>
      <c r="G434" s="293"/>
      <c r="J434" s="634"/>
      <c r="K434" s="635"/>
      <c r="L434" s="635"/>
      <c r="M434" s="636"/>
      <c r="N434" s="634"/>
      <c r="O434" s="634"/>
    </row>
    <row r="435">
      <c r="A435" s="92"/>
      <c r="C435" s="637"/>
      <c r="D435" s="293"/>
      <c r="E435" s="293"/>
      <c r="F435" s="293"/>
      <c r="G435" s="293"/>
      <c r="J435" s="634"/>
      <c r="K435" s="635"/>
      <c r="L435" s="635"/>
      <c r="M435" s="636"/>
      <c r="N435" s="634"/>
      <c r="O435" s="634"/>
    </row>
    <row r="436">
      <c r="A436" s="92"/>
      <c r="C436" s="637"/>
      <c r="D436" s="293"/>
      <c r="E436" s="293"/>
      <c r="F436" s="293"/>
      <c r="G436" s="293"/>
      <c r="J436" s="634"/>
      <c r="K436" s="635"/>
      <c r="L436" s="635"/>
      <c r="M436" s="636"/>
      <c r="N436" s="634"/>
      <c r="O436" s="634"/>
    </row>
    <row r="437">
      <c r="A437" s="92"/>
      <c r="C437" s="637"/>
      <c r="D437" s="293"/>
      <c r="E437" s="293"/>
      <c r="F437" s="293"/>
      <c r="G437" s="293"/>
      <c r="J437" s="634"/>
      <c r="K437" s="635"/>
      <c r="L437" s="635"/>
      <c r="M437" s="636"/>
      <c r="N437" s="634"/>
      <c r="O437" s="634"/>
    </row>
    <row r="438">
      <c r="A438" s="92"/>
      <c r="C438" s="637"/>
      <c r="D438" s="293"/>
      <c r="E438" s="293"/>
      <c r="F438" s="293"/>
      <c r="G438" s="293"/>
      <c r="J438" s="634"/>
      <c r="K438" s="635"/>
      <c r="L438" s="635"/>
      <c r="M438" s="636"/>
      <c r="N438" s="634"/>
      <c r="O438" s="634"/>
    </row>
    <row r="439">
      <c r="A439" s="92"/>
      <c r="C439" s="637"/>
      <c r="D439" s="293"/>
      <c r="E439" s="293"/>
      <c r="F439" s="293"/>
      <c r="G439" s="293"/>
      <c r="J439" s="634"/>
      <c r="K439" s="635"/>
      <c r="L439" s="635"/>
      <c r="M439" s="636"/>
      <c r="N439" s="634"/>
      <c r="O439" s="634"/>
    </row>
    <row r="440">
      <c r="A440" s="92"/>
      <c r="C440" s="637"/>
      <c r="D440" s="293"/>
      <c r="E440" s="293"/>
      <c r="F440" s="293"/>
      <c r="G440" s="293"/>
      <c r="J440" s="634"/>
      <c r="K440" s="635"/>
      <c r="L440" s="635"/>
      <c r="M440" s="636"/>
      <c r="N440" s="634"/>
      <c r="O440" s="634"/>
    </row>
    <row r="441">
      <c r="A441" s="92"/>
      <c r="C441" s="637"/>
      <c r="D441" s="293"/>
      <c r="E441" s="293"/>
      <c r="F441" s="293"/>
      <c r="G441" s="293"/>
      <c r="J441" s="634"/>
      <c r="K441" s="635"/>
      <c r="L441" s="635"/>
      <c r="M441" s="636"/>
      <c r="N441" s="634"/>
      <c r="O441" s="634"/>
    </row>
    <row r="442">
      <c r="A442" s="92"/>
      <c r="C442" s="637"/>
      <c r="D442" s="293"/>
      <c r="E442" s="293"/>
      <c r="F442" s="293"/>
      <c r="G442" s="293"/>
      <c r="J442" s="634"/>
      <c r="K442" s="635"/>
      <c r="L442" s="635"/>
      <c r="M442" s="636"/>
      <c r="N442" s="634"/>
      <c r="O442" s="634"/>
    </row>
    <row r="443">
      <c r="A443" s="92"/>
      <c r="C443" s="637"/>
      <c r="D443" s="293"/>
      <c r="E443" s="293"/>
      <c r="F443" s="293"/>
      <c r="G443" s="293"/>
      <c r="J443" s="634"/>
      <c r="K443" s="635"/>
      <c r="L443" s="635"/>
      <c r="M443" s="636"/>
      <c r="N443" s="634"/>
      <c r="O443" s="634"/>
    </row>
    <row r="444">
      <c r="A444" s="92"/>
      <c r="C444" s="637"/>
      <c r="D444" s="293"/>
      <c r="E444" s="293"/>
      <c r="F444" s="293"/>
      <c r="G444" s="293"/>
      <c r="J444" s="634"/>
      <c r="K444" s="635"/>
      <c r="L444" s="635"/>
      <c r="M444" s="636"/>
      <c r="N444" s="634"/>
      <c r="O444" s="634"/>
    </row>
    <row r="445">
      <c r="A445" s="92"/>
      <c r="C445" s="637"/>
      <c r="D445" s="293"/>
      <c r="E445" s="293"/>
      <c r="F445" s="293"/>
      <c r="G445" s="293"/>
      <c r="J445" s="634"/>
      <c r="K445" s="635"/>
      <c r="L445" s="635"/>
      <c r="M445" s="636"/>
      <c r="N445" s="634"/>
      <c r="O445" s="634"/>
    </row>
    <row r="446">
      <c r="A446" s="92"/>
      <c r="C446" s="637"/>
      <c r="D446" s="293"/>
      <c r="E446" s="293"/>
      <c r="F446" s="293"/>
      <c r="G446" s="293"/>
      <c r="J446" s="634"/>
      <c r="K446" s="635"/>
      <c r="L446" s="635"/>
      <c r="M446" s="636"/>
      <c r="N446" s="634"/>
      <c r="O446" s="634"/>
    </row>
    <row r="447">
      <c r="A447" s="92"/>
      <c r="C447" s="637"/>
      <c r="D447" s="293"/>
      <c r="E447" s="293"/>
      <c r="F447" s="293"/>
      <c r="G447" s="293"/>
      <c r="J447" s="634"/>
      <c r="K447" s="635"/>
      <c r="L447" s="635"/>
      <c r="M447" s="636"/>
      <c r="N447" s="634"/>
      <c r="O447" s="634"/>
    </row>
    <row r="448">
      <c r="A448" s="92"/>
      <c r="C448" s="637"/>
      <c r="D448" s="293"/>
      <c r="E448" s="293"/>
      <c r="F448" s="293"/>
      <c r="G448" s="293"/>
      <c r="J448" s="634"/>
      <c r="K448" s="635"/>
      <c r="L448" s="635"/>
      <c r="M448" s="636"/>
      <c r="N448" s="634"/>
      <c r="O448" s="634"/>
    </row>
    <row r="449">
      <c r="A449" s="92"/>
      <c r="C449" s="637"/>
      <c r="D449" s="293"/>
      <c r="E449" s="293"/>
      <c r="F449" s="293"/>
      <c r="G449" s="293"/>
      <c r="J449" s="634"/>
      <c r="K449" s="635"/>
      <c r="L449" s="635"/>
      <c r="M449" s="636"/>
      <c r="N449" s="634"/>
      <c r="O449" s="634"/>
    </row>
    <row r="450">
      <c r="A450" s="92"/>
      <c r="C450" s="637"/>
      <c r="D450" s="293"/>
      <c r="E450" s="293"/>
      <c r="F450" s="293"/>
      <c r="G450" s="293"/>
      <c r="J450" s="634"/>
      <c r="K450" s="635"/>
      <c r="L450" s="635"/>
      <c r="M450" s="636"/>
      <c r="N450" s="634"/>
      <c r="O450" s="634"/>
    </row>
    <row r="451">
      <c r="A451" s="92"/>
      <c r="C451" s="637"/>
      <c r="D451" s="293"/>
      <c r="E451" s="293"/>
      <c r="F451" s="293"/>
      <c r="G451" s="293"/>
      <c r="J451" s="634"/>
      <c r="K451" s="635"/>
      <c r="L451" s="635"/>
      <c r="M451" s="636"/>
      <c r="N451" s="634"/>
      <c r="O451" s="634"/>
    </row>
    <row r="452">
      <c r="A452" s="92"/>
      <c r="C452" s="637"/>
      <c r="D452" s="293"/>
      <c r="E452" s="293"/>
      <c r="F452" s="293"/>
      <c r="G452" s="293"/>
      <c r="J452" s="634"/>
      <c r="K452" s="635"/>
      <c r="L452" s="635"/>
      <c r="M452" s="636"/>
      <c r="N452" s="634"/>
      <c r="O452" s="634"/>
    </row>
    <row r="453">
      <c r="A453" s="92"/>
      <c r="C453" s="637"/>
      <c r="D453" s="293"/>
      <c r="E453" s="293"/>
      <c r="F453" s="293"/>
      <c r="G453" s="293"/>
      <c r="J453" s="634"/>
      <c r="K453" s="635"/>
      <c r="L453" s="635"/>
      <c r="M453" s="636"/>
      <c r="N453" s="634"/>
      <c r="O453" s="634"/>
    </row>
    <row r="454">
      <c r="A454" s="92"/>
      <c r="C454" s="637"/>
      <c r="D454" s="293"/>
      <c r="E454" s="293"/>
      <c r="F454" s="293"/>
      <c r="G454" s="293"/>
      <c r="J454" s="634"/>
      <c r="K454" s="635"/>
      <c r="L454" s="635"/>
      <c r="M454" s="636"/>
      <c r="N454" s="634"/>
      <c r="O454" s="634"/>
    </row>
    <row r="455">
      <c r="A455" s="92"/>
      <c r="C455" s="637"/>
      <c r="D455" s="293"/>
      <c r="E455" s="293"/>
      <c r="F455" s="293"/>
      <c r="G455" s="293"/>
      <c r="J455" s="634"/>
      <c r="K455" s="635"/>
      <c r="L455" s="635"/>
      <c r="M455" s="636"/>
      <c r="N455" s="634"/>
      <c r="O455" s="634"/>
    </row>
    <row r="456">
      <c r="A456" s="92"/>
      <c r="C456" s="637"/>
      <c r="D456" s="293"/>
      <c r="E456" s="293"/>
      <c r="F456" s="293"/>
      <c r="G456" s="293"/>
      <c r="J456" s="634"/>
      <c r="K456" s="635"/>
      <c r="L456" s="635"/>
      <c r="M456" s="636"/>
      <c r="N456" s="634"/>
      <c r="O456" s="634"/>
    </row>
    <row r="457">
      <c r="A457" s="92"/>
      <c r="C457" s="637"/>
      <c r="D457" s="293"/>
      <c r="E457" s="293"/>
      <c r="F457" s="293"/>
      <c r="G457" s="293"/>
      <c r="J457" s="634"/>
      <c r="K457" s="635"/>
      <c r="L457" s="635"/>
      <c r="M457" s="636"/>
      <c r="N457" s="634"/>
      <c r="O457" s="634"/>
    </row>
    <row r="458">
      <c r="A458" s="92"/>
      <c r="C458" s="637"/>
      <c r="D458" s="293"/>
      <c r="E458" s="293"/>
      <c r="F458" s="293"/>
      <c r="G458" s="293"/>
      <c r="J458" s="634"/>
      <c r="K458" s="635"/>
      <c r="L458" s="635"/>
      <c r="M458" s="636"/>
      <c r="N458" s="634"/>
      <c r="O458" s="634"/>
    </row>
    <row r="459">
      <c r="A459" s="92"/>
      <c r="C459" s="637"/>
      <c r="D459" s="293"/>
      <c r="E459" s="293"/>
      <c r="F459" s="293"/>
      <c r="G459" s="293"/>
      <c r="J459" s="634"/>
      <c r="K459" s="635"/>
      <c r="L459" s="635"/>
      <c r="M459" s="636"/>
      <c r="N459" s="634"/>
      <c r="O459" s="634"/>
    </row>
    <row r="460">
      <c r="A460" s="92"/>
      <c r="C460" s="637"/>
      <c r="D460" s="293"/>
      <c r="E460" s="293"/>
      <c r="F460" s="293"/>
      <c r="G460" s="293"/>
      <c r="J460" s="634"/>
      <c r="K460" s="635"/>
      <c r="L460" s="635"/>
      <c r="M460" s="636"/>
      <c r="N460" s="634"/>
      <c r="O460" s="634"/>
    </row>
    <row r="461">
      <c r="A461" s="92"/>
      <c r="C461" s="637"/>
      <c r="D461" s="293"/>
      <c r="E461" s="293"/>
      <c r="F461" s="293"/>
      <c r="G461" s="293"/>
      <c r="J461" s="634"/>
      <c r="K461" s="635"/>
      <c r="L461" s="635"/>
      <c r="M461" s="636"/>
      <c r="N461" s="634"/>
      <c r="O461" s="634"/>
    </row>
    <row r="462">
      <c r="A462" s="92"/>
      <c r="C462" s="637"/>
      <c r="D462" s="293"/>
      <c r="E462" s="293"/>
      <c r="F462" s="293"/>
      <c r="G462" s="293"/>
      <c r="J462" s="634"/>
      <c r="K462" s="635"/>
      <c r="L462" s="635"/>
      <c r="M462" s="636"/>
      <c r="N462" s="634"/>
      <c r="O462" s="634"/>
    </row>
    <row r="463">
      <c r="A463" s="92"/>
      <c r="C463" s="637"/>
      <c r="D463" s="293"/>
      <c r="E463" s="293"/>
      <c r="F463" s="293"/>
      <c r="G463" s="293"/>
      <c r="J463" s="634"/>
      <c r="K463" s="635"/>
      <c r="L463" s="635"/>
      <c r="M463" s="636"/>
      <c r="N463" s="634"/>
      <c r="O463" s="634"/>
    </row>
    <row r="464">
      <c r="A464" s="92"/>
      <c r="C464" s="637"/>
      <c r="D464" s="293"/>
      <c r="E464" s="293"/>
      <c r="F464" s="293"/>
      <c r="G464" s="293"/>
      <c r="J464" s="634"/>
      <c r="K464" s="635"/>
      <c r="L464" s="635"/>
      <c r="M464" s="636"/>
      <c r="N464" s="634"/>
      <c r="O464" s="634"/>
    </row>
    <row r="465">
      <c r="A465" s="92"/>
      <c r="C465" s="637"/>
      <c r="D465" s="293"/>
      <c r="E465" s="293"/>
      <c r="F465" s="293"/>
      <c r="G465" s="293"/>
      <c r="J465" s="634"/>
      <c r="K465" s="635"/>
      <c r="L465" s="635"/>
      <c r="M465" s="636"/>
      <c r="N465" s="634"/>
      <c r="O465" s="634"/>
    </row>
    <row r="466">
      <c r="A466" s="92"/>
      <c r="C466" s="637"/>
      <c r="D466" s="293"/>
      <c r="E466" s="293"/>
      <c r="F466" s="293"/>
      <c r="G466" s="293"/>
      <c r="J466" s="634"/>
      <c r="K466" s="635"/>
      <c r="L466" s="635"/>
      <c r="M466" s="636"/>
      <c r="N466" s="634"/>
      <c r="O466" s="634"/>
    </row>
    <row r="467">
      <c r="A467" s="92"/>
      <c r="C467" s="637"/>
      <c r="D467" s="293"/>
      <c r="E467" s="293"/>
      <c r="F467" s="293"/>
      <c r="G467" s="293"/>
      <c r="J467" s="634"/>
      <c r="K467" s="635"/>
      <c r="L467" s="635"/>
      <c r="M467" s="636"/>
      <c r="N467" s="634"/>
      <c r="O467" s="634"/>
    </row>
    <row r="468">
      <c r="A468" s="92"/>
      <c r="C468" s="637"/>
      <c r="D468" s="293"/>
      <c r="E468" s="293"/>
      <c r="F468" s="293"/>
      <c r="G468" s="293"/>
      <c r="J468" s="634"/>
      <c r="K468" s="635"/>
      <c r="L468" s="635"/>
      <c r="M468" s="636"/>
      <c r="N468" s="634"/>
      <c r="O468" s="634"/>
    </row>
    <row r="469">
      <c r="A469" s="92"/>
      <c r="C469" s="637"/>
      <c r="D469" s="293"/>
      <c r="E469" s="293"/>
      <c r="F469" s="293"/>
      <c r="G469" s="293"/>
      <c r="J469" s="634"/>
      <c r="K469" s="635"/>
      <c r="L469" s="635"/>
      <c r="M469" s="636"/>
      <c r="N469" s="634"/>
      <c r="O469" s="634"/>
    </row>
    <row r="470">
      <c r="A470" s="92"/>
      <c r="C470" s="637"/>
      <c r="D470" s="293"/>
      <c r="E470" s="293"/>
      <c r="F470" s="293"/>
      <c r="G470" s="293"/>
      <c r="J470" s="634"/>
      <c r="K470" s="635"/>
      <c r="L470" s="635"/>
      <c r="M470" s="636"/>
      <c r="N470" s="634"/>
      <c r="O470" s="634"/>
    </row>
    <row r="471">
      <c r="A471" s="92"/>
      <c r="C471" s="637"/>
      <c r="D471" s="293"/>
      <c r="E471" s="293"/>
      <c r="F471" s="293"/>
      <c r="G471" s="293"/>
      <c r="J471" s="634"/>
      <c r="K471" s="635"/>
      <c r="L471" s="635"/>
      <c r="M471" s="636"/>
      <c r="N471" s="634"/>
      <c r="O471" s="634"/>
    </row>
    <row r="472">
      <c r="A472" s="92"/>
      <c r="C472" s="637"/>
      <c r="D472" s="293"/>
      <c r="E472" s="293"/>
      <c r="F472" s="293"/>
      <c r="G472" s="293"/>
      <c r="J472" s="634"/>
      <c r="K472" s="635"/>
      <c r="L472" s="635"/>
      <c r="M472" s="636"/>
      <c r="N472" s="634"/>
      <c r="O472" s="634"/>
    </row>
    <row r="473">
      <c r="A473" s="92"/>
      <c r="C473" s="637"/>
      <c r="D473" s="293"/>
      <c r="E473" s="293"/>
      <c r="F473" s="293"/>
      <c r="G473" s="293"/>
      <c r="J473" s="634"/>
      <c r="K473" s="635"/>
      <c r="L473" s="635"/>
      <c r="M473" s="636"/>
      <c r="N473" s="634"/>
      <c r="O473" s="634"/>
    </row>
    <row r="474">
      <c r="A474" s="92"/>
      <c r="C474" s="637"/>
      <c r="D474" s="293"/>
      <c r="E474" s="293"/>
      <c r="F474" s="293"/>
      <c r="G474" s="293"/>
      <c r="J474" s="634"/>
      <c r="K474" s="635"/>
      <c r="L474" s="635"/>
      <c r="M474" s="636"/>
      <c r="N474" s="634"/>
      <c r="O474" s="634"/>
    </row>
    <row r="475">
      <c r="A475" s="92"/>
      <c r="C475" s="637"/>
      <c r="D475" s="293"/>
      <c r="E475" s="293"/>
      <c r="F475" s="293"/>
      <c r="G475" s="293"/>
      <c r="J475" s="634"/>
      <c r="K475" s="635"/>
      <c r="L475" s="635"/>
      <c r="M475" s="636"/>
      <c r="N475" s="634"/>
      <c r="O475" s="634"/>
    </row>
    <row r="476">
      <c r="A476" s="92"/>
      <c r="C476" s="637"/>
      <c r="D476" s="293"/>
      <c r="E476" s="293"/>
      <c r="F476" s="293"/>
      <c r="G476" s="293"/>
      <c r="J476" s="634"/>
      <c r="K476" s="635"/>
      <c r="L476" s="635"/>
      <c r="M476" s="636"/>
      <c r="N476" s="634"/>
      <c r="O476" s="634"/>
    </row>
    <row r="477">
      <c r="A477" s="92"/>
      <c r="C477" s="637"/>
      <c r="D477" s="293"/>
      <c r="E477" s="293"/>
      <c r="F477" s="293"/>
      <c r="G477" s="293"/>
      <c r="J477" s="634"/>
      <c r="K477" s="635"/>
      <c r="L477" s="635"/>
      <c r="M477" s="636"/>
      <c r="N477" s="634"/>
      <c r="O477" s="634"/>
    </row>
    <row r="478">
      <c r="A478" s="92"/>
      <c r="C478" s="637"/>
      <c r="D478" s="293"/>
      <c r="E478" s="293"/>
      <c r="F478" s="293"/>
      <c r="G478" s="293"/>
      <c r="J478" s="634"/>
      <c r="K478" s="635"/>
      <c r="L478" s="635"/>
      <c r="M478" s="636"/>
      <c r="N478" s="634"/>
      <c r="O478" s="634"/>
    </row>
    <row r="479">
      <c r="A479" s="92"/>
      <c r="C479" s="637"/>
      <c r="D479" s="293"/>
      <c r="E479" s="293"/>
      <c r="F479" s="293"/>
      <c r="G479" s="293"/>
      <c r="J479" s="634"/>
      <c r="K479" s="635"/>
      <c r="L479" s="635"/>
      <c r="M479" s="636"/>
      <c r="N479" s="634"/>
      <c r="O479" s="634"/>
    </row>
    <row r="480">
      <c r="A480" s="92"/>
      <c r="C480" s="637"/>
      <c r="D480" s="293"/>
      <c r="E480" s="293"/>
      <c r="F480" s="293"/>
      <c r="G480" s="293"/>
      <c r="J480" s="634"/>
      <c r="K480" s="635"/>
      <c r="L480" s="635"/>
      <c r="M480" s="636"/>
      <c r="N480" s="634"/>
      <c r="O480" s="634"/>
    </row>
    <row r="481">
      <c r="A481" s="92"/>
      <c r="C481" s="637"/>
      <c r="D481" s="293"/>
      <c r="E481" s="293"/>
      <c r="F481" s="293"/>
      <c r="G481" s="293"/>
      <c r="J481" s="634"/>
      <c r="K481" s="635"/>
      <c r="L481" s="635"/>
      <c r="M481" s="636"/>
      <c r="N481" s="634"/>
      <c r="O481" s="634"/>
    </row>
    <row r="482">
      <c r="A482" s="92"/>
      <c r="C482" s="637"/>
      <c r="D482" s="293"/>
      <c r="E482" s="293"/>
      <c r="F482" s="293"/>
      <c r="G482" s="293"/>
      <c r="J482" s="634"/>
      <c r="K482" s="635"/>
      <c r="L482" s="635"/>
      <c r="M482" s="636"/>
      <c r="N482" s="634"/>
      <c r="O482" s="634"/>
    </row>
    <row r="483">
      <c r="A483" s="92"/>
      <c r="C483" s="637"/>
      <c r="D483" s="293"/>
      <c r="E483" s="293"/>
      <c r="F483" s="293"/>
      <c r="G483" s="293"/>
      <c r="J483" s="634"/>
      <c r="K483" s="635"/>
      <c r="L483" s="635"/>
      <c r="M483" s="636"/>
      <c r="N483" s="634"/>
      <c r="O483" s="634"/>
    </row>
    <row r="484">
      <c r="A484" s="92"/>
      <c r="C484" s="637"/>
      <c r="D484" s="293"/>
      <c r="E484" s="293"/>
      <c r="F484" s="293"/>
      <c r="G484" s="293"/>
      <c r="J484" s="634"/>
      <c r="K484" s="635"/>
      <c r="L484" s="635"/>
      <c r="M484" s="636"/>
      <c r="N484" s="634"/>
      <c r="O484" s="634"/>
    </row>
    <row r="485">
      <c r="A485" s="92"/>
      <c r="C485" s="637"/>
      <c r="D485" s="293"/>
      <c r="E485" s="293"/>
      <c r="F485" s="293"/>
      <c r="G485" s="293"/>
      <c r="J485" s="634"/>
      <c r="K485" s="635"/>
      <c r="L485" s="635"/>
      <c r="M485" s="636"/>
      <c r="N485" s="634"/>
      <c r="O485" s="634"/>
    </row>
    <row r="486">
      <c r="A486" s="92"/>
      <c r="C486" s="637"/>
      <c r="D486" s="293"/>
      <c r="E486" s="293"/>
      <c r="F486" s="293"/>
      <c r="G486" s="293"/>
      <c r="J486" s="634"/>
      <c r="K486" s="635"/>
      <c r="L486" s="635"/>
      <c r="M486" s="636"/>
      <c r="N486" s="634"/>
      <c r="O486" s="634"/>
    </row>
    <row r="487">
      <c r="A487" s="92"/>
      <c r="C487" s="637"/>
      <c r="D487" s="293"/>
      <c r="E487" s="293"/>
      <c r="F487" s="293"/>
      <c r="G487" s="293"/>
      <c r="J487" s="634"/>
      <c r="K487" s="635"/>
      <c r="L487" s="635"/>
      <c r="M487" s="636"/>
      <c r="N487" s="634"/>
      <c r="O487" s="634"/>
    </row>
    <row r="488">
      <c r="A488" s="92"/>
      <c r="C488" s="637"/>
      <c r="D488" s="293"/>
      <c r="E488" s="293"/>
      <c r="F488" s="293"/>
      <c r="G488" s="293"/>
      <c r="J488" s="634"/>
      <c r="K488" s="635"/>
      <c r="L488" s="635"/>
      <c r="M488" s="636"/>
      <c r="N488" s="634"/>
      <c r="O488" s="634"/>
    </row>
    <row r="489">
      <c r="A489" s="92"/>
      <c r="C489" s="637"/>
      <c r="D489" s="293"/>
      <c r="E489" s="293"/>
      <c r="F489" s="293"/>
      <c r="G489" s="293"/>
      <c r="J489" s="634"/>
      <c r="K489" s="635"/>
      <c r="L489" s="635"/>
      <c r="M489" s="636"/>
      <c r="N489" s="634"/>
      <c r="O489" s="634"/>
    </row>
    <row r="490">
      <c r="A490" s="92"/>
      <c r="C490" s="637"/>
      <c r="D490" s="293"/>
      <c r="E490" s="293"/>
      <c r="F490" s="293"/>
      <c r="G490" s="293"/>
      <c r="J490" s="634"/>
      <c r="K490" s="635"/>
      <c r="L490" s="635"/>
      <c r="M490" s="636"/>
      <c r="N490" s="634"/>
      <c r="O490" s="634"/>
    </row>
    <row r="491">
      <c r="A491" s="92"/>
      <c r="C491" s="637"/>
      <c r="D491" s="293"/>
      <c r="E491" s="293"/>
      <c r="F491" s="293"/>
      <c r="G491" s="293"/>
      <c r="J491" s="634"/>
      <c r="K491" s="635"/>
      <c r="L491" s="635"/>
      <c r="M491" s="636"/>
      <c r="N491" s="634"/>
      <c r="O491" s="634"/>
    </row>
    <row r="492">
      <c r="A492" s="92"/>
      <c r="C492" s="637"/>
      <c r="D492" s="293"/>
      <c r="E492" s="293"/>
      <c r="F492" s="293"/>
      <c r="G492" s="293"/>
      <c r="J492" s="634"/>
      <c r="K492" s="635"/>
      <c r="L492" s="635"/>
      <c r="M492" s="636"/>
      <c r="N492" s="634"/>
      <c r="O492" s="634"/>
    </row>
    <row r="493">
      <c r="A493" s="92"/>
      <c r="C493" s="637"/>
      <c r="D493" s="293"/>
      <c r="E493" s="293"/>
      <c r="F493" s="293"/>
      <c r="G493" s="293"/>
      <c r="J493" s="634"/>
      <c r="K493" s="635"/>
      <c r="L493" s="635"/>
      <c r="M493" s="636"/>
      <c r="N493" s="634"/>
      <c r="O493" s="634"/>
    </row>
    <row r="494">
      <c r="A494" s="92"/>
      <c r="C494" s="637"/>
      <c r="D494" s="293"/>
      <c r="E494" s="293"/>
      <c r="F494" s="293"/>
      <c r="G494" s="293"/>
      <c r="J494" s="634"/>
      <c r="K494" s="635"/>
      <c r="L494" s="635"/>
      <c r="M494" s="636"/>
      <c r="N494" s="634"/>
      <c r="O494" s="634"/>
    </row>
    <row r="495">
      <c r="A495" s="92"/>
      <c r="C495" s="637"/>
      <c r="D495" s="293"/>
      <c r="E495" s="293"/>
      <c r="F495" s="293"/>
      <c r="G495" s="293"/>
      <c r="J495" s="634"/>
      <c r="K495" s="635"/>
      <c r="L495" s="635"/>
      <c r="M495" s="636"/>
      <c r="N495" s="634"/>
      <c r="O495" s="634"/>
    </row>
    <row r="496">
      <c r="A496" s="92"/>
      <c r="C496" s="637"/>
      <c r="D496" s="293"/>
      <c r="E496" s="293"/>
      <c r="F496" s="293"/>
      <c r="G496" s="293"/>
      <c r="J496" s="634"/>
      <c r="K496" s="635"/>
      <c r="L496" s="635"/>
      <c r="M496" s="636"/>
      <c r="N496" s="634"/>
      <c r="O496" s="634"/>
    </row>
    <row r="497">
      <c r="A497" s="92"/>
      <c r="C497" s="637"/>
      <c r="D497" s="293"/>
      <c r="E497" s="293"/>
      <c r="F497" s="293"/>
      <c r="G497" s="293"/>
      <c r="J497" s="634"/>
      <c r="K497" s="635"/>
      <c r="L497" s="635"/>
      <c r="M497" s="636"/>
      <c r="N497" s="634"/>
      <c r="O497" s="634"/>
    </row>
    <row r="498">
      <c r="A498" s="92"/>
      <c r="C498" s="637"/>
      <c r="D498" s="293"/>
      <c r="E498" s="293"/>
      <c r="F498" s="293"/>
      <c r="G498" s="293"/>
      <c r="J498" s="634"/>
      <c r="K498" s="635"/>
      <c r="L498" s="635"/>
      <c r="M498" s="636"/>
      <c r="N498" s="634"/>
      <c r="O498" s="634"/>
    </row>
    <row r="499">
      <c r="A499" s="92"/>
      <c r="C499" s="637"/>
      <c r="D499" s="293"/>
      <c r="E499" s="293"/>
      <c r="F499" s="293"/>
      <c r="G499" s="293"/>
      <c r="J499" s="634"/>
      <c r="K499" s="635"/>
      <c r="L499" s="635"/>
      <c r="M499" s="636"/>
      <c r="N499" s="634"/>
      <c r="O499" s="634"/>
    </row>
    <row r="500">
      <c r="A500" s="92"/>
      <c r="C500" s="637"/>
      <c r="D500" s="293"/>
      <c r="E500" s="293"/>
      <c r="F500" s="293"/>
      <c r="G500" s="293"/>
      <c r="J500" s="634"/>
      <c r="K500" s="635"/>
      <c r="L500" s="635"/>
      <c r="M500" s="636"/>
      <c r="N500" s="634"/>
      <c r="O500" s="634"/>
    </row>
    <row r="501">
      <c r="A501" s="92"/>
      <c r="C501" s="637"/>
      <c r="D501" s="293"/>
      <c r="E501" s="293"/>
      <c r="F501" s="293"/>
      <c r="G501" s="293"/>
      <c r="J501" s="634"/>
      <c r="K501" s="635"/>
      <c r="L501" s="635"/>
      <c r="M501" s="636"/>
      <c r="N501" s="634"/>
      <c r="O501" s="634"/>
    </row>
    <row r="502">
      <c r="A502" s="92"/>
      <c r="C502" s="637"/>
      <c r="D502" s="293"/>
      <c r="E502" s="293"/>
      <c r="F502" s="293"/>
      <c r="G502" s="293"/>
      <c r="J502" s="634"/>
      <c r="K502" s="635"/>
      <c r="L502" s="635"/>
      <c r="M502" s="636"/>
      <c r="N502" s="634"/>
      <c r="O502" s="634"/>
    </row>
    <row r="503">
      <c r="A503" s="92"/>
      <c r="C503" s="637"/>
      <c r="D503" s="293"/>
      <c r="E503" s="293"/>
      <c r="F503" s="293"/>
      <c r="G503" s="293"/>
      <c r="J503" s="634"/>
      <c r="K503" s="635"/>
      <c r="L503" s="635"/>
      <c r="M503" s="636"/>
      <c r="N503" s="634"/>
      <c r="O503" s="634"/>
    </row>
    <row r="504">
      <c r="A504" s="92"/>
      <c r="C504" s="637"/>
      <c r="D504" s="293"/>
      <c r="E504" s="293"/>
      <c r="F504" s="293"/>
      <c r="G504" s="293"/>
      <c r="J504" s="634"/>
      <c r="K504" s="635"/>
      <c r="L504" s="635"/>
      <c r="M504" s="636"/>
      <c r="N504" s="634"/>
      <c r="O504" s="634"/>
    </row>
    <row r="505">
      <c r="A505" s="92"/>
      <c r="C505" s="637"/>
      <c r="D505" s="293"/>
      <c r="E505" s="293"/>
      <c r="F505" s="293"/>
      <c r="G505" s="293"/>
      <c r="J505" s="634"/>
      <c r="K505" s="635"/>
      <c r="L505" s="635"/>
      <c r="M505" s="636"/>
      <c r="N505" s="634"/>
      <c r="O505" s="634"/>
    </row>
    <row r="506">
      <c r="A506" s="92"/>
      <c r="C506" s="637"/>
      <c r="D506" s="293"/>
      <c r="E506" s="293"/>
      <c r="F506" s="293"/>
      <c r="G506" s="293"/>
      <c r="J506" s="634"/>
      <c r="K506" s="635"/>
      <c r="L506" s="635"/>
      <c r="M506" s="636"/>
      <c r="N506" s="634"/>
      <c r="O506" s="634"/>
    </row>
    <row r="507">
      <c r="A507" s="92"/>
      <c r="C507" s="637"/>
      <c r="D507" s="293"/>
      <c r="E507" s="293"/>
      <c r="F507" s="293"/>
      <c r="G507" s="293"/>
      <c r="J507" s="634"/>
      <c r="K507" s="635"/>
      <c r="L507" s="635"/>
      <c r="M507" s="636"/>
      <c r="N507" s="634"/>
      <c r="O507" s="634"/>
    </row>
    <row r="508">
      <c r="A508" s="92"/>
      <c r="C508" s="637"/>
      <c r="D508" s="293"/>
      <c r="E508" s="293"/>
      <c r="F508" s="293"/>
      <c r="G508" s="293"/>
      <c r="J508" s="634"/>
      <c r="K508" s="635"/>
      <c r="L508" s="635"/>
      <c r="M508" s="636"/>
      <c r="N508" s="634"/>
      <c r="O508" s="634"/>
    </row>
    <row r="509">
      <c r="A509" s="92"/>
      <c r="C509" s="637"/>
      <c r="D509" s="293"/>
      <c r="E509" s="293"/>
      <c r="F509" s="293"/>
      <c r="G509" s="293"/>
      <c r="J509" s="634"/>
      <c r="K509" s="635"/>
      <c r="L509" s="635"/>
      <c r="M509" s="636"/>
      <c r="N509" s="634"/>
      <c r="O509" s="634"/>
    </row>
    <row r="510">
      <c r="A510" s="92"/>
      <c r="C510" s="637"/>
      <c r="D510" s="293"/>
      <c r="E510" s="293"/>
      <c r="F510" s="293"/>
      <c r="G510" s="293"/>
      <c r="J510" s="634"/>
      <c r="K510" s="635"/>
      <c r="L510" s="635"/>
      <c r="M510" s="636"/>
      <c r="N510" s="634"/>
      <c r="O510" s="634"/>
    </row>
    <row r="511">
      <c r="A511" s="92"/>
      <c r="C511" s="637"/>
      <c r="D511" s="293"/>
      <c r="E511" s="293"/>
      <c r="F511" s="293"/>
      <c r="G511" s="293"/>
      <c r="J511" s="634"/>
      <c r="K511" s="635"/>
      <c r="L511" s="635"/>
      <c r="M511" s="636"/>
      <c r="N511" s="634"/>
      <c r="O511" s="634"/>
    </row>
    <row r="512">
      <c r="A512" s="92"/>
      <c r="C512" s="637"/>
      <c r="D512" s="293"/>
      <c r="E512" s="293"/>
      <c r="F512" s="293"/>
      <c r="G512" s="293"/>
      <c r="J512" s="634"/>
      <c r="K512" s="635"/>
      <c r="L512" s="635"/>
      <c r="M512" s="636"/>
      <c r="N512" s="634"/>
      <c r="O512" s="634"/>
    </row>
    <row r="513">
      <c r="A513" s="92"/>
      <c r="C513" s="637"/>
      <c r="D513" s="293"/>
      <c r="E513" s="293"/>
      <c r="F513" s="293"/>
      <c r="G513" s="293"/>
      <c r="J513" s="634"/>
      <c r="K513" s="635"/>
      <c r="L513" s="635"/>
      <c r="M513" s="636"/>
      <c r="N513" s="634"/>
      <c r="O513" s="634"/>
    </row>
    <row r="514">
      <c r="A514" s="92"/>
      <c r="C514" s="637"/>
      <c r="D514" s="293"/>
      <c r="E514" s="293"/>
      <c r="F514" s="293"/>
      <c r="G514" s="293"/>
      <c r="J514" s="634"/>
      <c r="K514" s="635"/>
      <c r="L514" s="635"/>
      <c r="M514" s="636"/>
      <c r="N514" s="634"/>
      <c r="O514" s="634"/>
    </row>
    <row r="515">
      <c r="A515" s="92"/>
      <c r="C515" s="637"/>
      <c r="D515" s="293"/>
      <c r="E515" s="293"/>
      <c r="F515" s="293"/>
      <c r="G515" s="293"/>
      <c r="J515" s="634"/>
      <c r="K515" s="635"/>
      <c r="L515" s="635"/>
      <c r="M515" s="636"/>
      <c r="N515" s="634"/>
      <c r="O515" s="634"/>
    </row>
    <row r="516">
      <c r="A516" s="92"/>
      <c r="C516" s="637"/>
      <c r="D516" s="293"/>
      <c r="E516" s="293"/>
      <c r="F516" s="293"/>
      <c r="G516" s="293"/>
      <c r="J516" s="634"/>
      <c r="K516" s="635"/>
      <c r="L516" s="635"/>
      <c r="M516" s="636"/>
      <c r="N516" s="634"/>
      <c r="O516" s="634"/>
    </row>
    <row r="517">
      <c r="A517" s="92"/>
      <c r="C517" s="637"/>
      <c r="D517" s="293"/>
      <c r="E517" s="293"/>
      <c r="F517" s="293"/>
      <c r="G517" s="293"/>
      <c r="J517" s="634"/>
      <c r="K517" s="635"/>
      <c r="L517" s="635"/>
      <c r="M517" s="636"/>
      <c r="N517" s="634"/>
      <c r="O517" s="634"/>
    </row>
    <row r="518">
      <c r="A518" s="92"/>
      <c r="C518" s="637"/>
      <c r="D518" s="293"/>
      <c r="E518" s="293"/>
      <c r="F518" s="293"/>
      <c r="G518" s="293"/>
      <c r="J518" s="634"/>
      <c r="K518" s="635"/>
      <c r="L518" s="635"/>
      <c r="M518" s="636"/>
      <c r="N518" s="634"/>
      <c r="O518" s="634"/>
    </row>
    <row r="519">
      <c r="A519" s="92"/>
      <c r="C519" s="637"/>
      <c r="D519" s="293"/>
      <c r="E519" s="293"/>
      <c r="F519" s="293"/>
      <c r="G519" s="293"/>
      <c r="J519" s="634"/>
      <c r="K519" s="635"/>
      <c r="L519" s="635"/>
      <c r="M519" s="636"/>
      <c r="N519" s="634"/>
      <c r="O519" s="634"/>
    </row>
    <row r="520">
      <c r="A520" s="92"/>
      <c r="C520" s="637"/>
      <c r="D520" s="293"/>
      <c r="E520" s="293"/>
      <c r="F520" s="293"/>
      <c r="G520" s="293"/>
      <c r="J520" s="634"/>
      <c r="K520" s="635"/>
      <c r="L520" s="635"/>
      <c r="M520" s="636"/>
      <c r="N520" s="634"/>
      <c r="O520" s="634"/>
    </row>
    <row r="521">
      <c r="A521" s="92"/>
      <c r="C521" s="637"/>
      <c r="D521" s="293"/>
      <c r="E521" s="293"/>
      <c r="F521" s="293"/>
      <c r="G521" s="293"/>
      <c r="J521" s="634"/>
      <c r="K521" s="635"/>
      <c r="L521" s="635"/>
      <c r="M521" s="636"/>
      <c r="N521" s="634"/>
      <c r="O521" s="634"/>
    </row>
    <row r="522">
      <c r="A522" s="92"/>
      <c r="C522" s="637"/>
      <c r="D522" s="293"/>
      <c r="E522" s="293"/>
      <c r="F522" s="293"/>
      <c r="G522" s="293"/>
      <c r="J522" s="634"/>
      <c r="K522" s="635"/>
      <c r="L522" s="635"/>
      <c r="M522" s="636"/>
      <c r="N522" s="634"/>
      <c r="O522" s="634"/>
    </row>
    <row r="523">
      <c r="A523" s="92"/>
      <c r="C523" s="637"/>
      <c r="D523" s="293"/>
      <c r="E523" s="293"/>
      <c r="F523" s="293"/>
      <c r="G523" s="293"/>
      <c r="J523" s="634"/>
      <c r="K523" s="635"/>
      <c r="L523" s="635"/>
      <c r="M523" s="636"/>
      <c r="N523" s="634"/>
      <c r="O523" s="634"/>
    </row>
    <row r="524">
      <c r="A524" s="92"/>
      <c r="C524" s="637"/>
      <c r="D524" s="293"/>
      <c r="E524" s="293"/>
      <c r="F524" s="293"/>
      <c r="G524" s="293"/>
      <c r="J524" s="634"/>
      <c r="K524" s="635"/>
      <c r="L524" s="635"/>
      <c r="M524" s="636"/>
      <c r="N524" s="634"/>
      <c r="O524" s="634"/>
    </row>
    <row r="525">
      <c r="A525" s="92"/>
      <c r="C525" s="637"/>
      <c r="D525" s="293"/>
      <c r="E525" s="293"/>
      <c r="F525" s="293"/>
      <c r="G525" s="293"/>
      <c r="J525" s="634"/>
      <c r="K525" s="635"/>
      <c r="L525" s="635"/>
      <c r="M525" s="636"/>
      <c r="N525" s="634"/>
      <c r="O525" s="634"/>
    </row>
    <row r="526">
      <c r="A526" s="92"/>
      <c r="C526" s="637"/>
      <c r="D526" s="293"/>
      <c r="E526" s="293"/>
      <c r="F526" s="293"/>
      <c r="G526" s="293"/>
      <c r="J526" s="634"/>
      <c r="K526" s="635"/>
      <c r="L526" s="635"/>
      <c r="M526" s="636"/>
      <c r="N526" s="634"/>
      <c r="O526" s="634"/>
    </row>
    <row r="527">
      <c r="A527" s="92"/>
      <c r="C527" s="637"/>
      <c r="D527" s="293"/>
      <c r="E527" s="293"/>
      <c r="F527" s="293"/>
      <c r="G527" s="293"/>
      <c r="J527" s="634"/>
      <c r="K527" s="635"/>
      <c r="L527" s="635"/>
      <c r="M527" s="636"/>
      <c r="N527" s="634"/>
      <c r="O527" s="634"/>
    </row>
    <row r="528">
      <c r="A528" s="92"/>
      <c r="C528" s="637"/>
      <c r="D528" s="293"/>
      <c r="E528" s="293"/>
      <c r="F528" s="293"/>
      <c r="G528" s="293"/>
      <c r="J528" s="634"/>
      <c r="K528" s="635"/>
      <c r="L528" s="635"/>
      <c r="M528" s="636"/>
      <c r="N528" s="634"/>
      <c r="O528" s="634"/>
    </row>
    <row r="529">
      <c r="A529" s="92"/>
      <c r="C529" s="637"/>
      <c r="D529" s="293"/>
      <c r="E529" s="293"/>
      <c r="F529" s="293"/>
      <c r="G529" s="293"/>
      <c r="J529" s="634"/>
      <c r="K529" s="635"/>
      <c r="L529" s="635"/>
      <c r="M529" s="636"/>
      <c r="N529" s="634"/>
      <c r="O529" s="634"/>
    </row>
    <row r="530">
      <c r="A530" s="92"/>
      <c r="C530" s="637"/>
      <c r="D530" s="293"/>
      <c r="E530" s="293"/>
      <c r="F530" s="293"/>
      <c r="G530" s="293"/>
      <c r="J530" s="634"/>
      <c r="K530" s="635"/>
      <c r="L530" s="635"/>
      <c r="M530" s="636"/>
      <c r="N530" s="634"/>
      <c r="O530" s="634"/>
    </row>
    <row r="531">
      <c r="A531" s="92"/>
      <c r="C531" s="637"/>
      <c r="D531" s="293"/>
      <c r="E531" s="293"/>
      <c r="F531" s="293"/>
      <c r="G531" s="293"/>
      <c r="J531" s="634"/>
      <c r="K531" s="635"/>
      <c r="L531" s="635"/>
      <c r="M531" s="636"/>
      <c r="N531" s="634"/>
      <c r="O531" s="634"/>
    </row>
    <row r="532">
      <c r="A532" s="92"/>
      <c r="C532" s="637"/>
      <c r="D532" s="293"/>
      <c r="E532" s="293"/>
      <c r="F532" s="293"/>
      <c r="G532" s="293"/>
      <c r="J532" s="634"/>
      <c r="K532" s="635"/>
      <c r="L532" s="635"/>
      <c r="M532" s="636"/>
      <c r="N532" s="634"/>
      <c r="O532" s="634"/>
    </row>
    <row r="533">
      <c r="A533" s="92"/>
      <c r="C533" s="637"/>
      <c r="D533" s="293"/>
      <c r="E533" s="293"/>
      <c r="F533" s="293"/>
      <c r="G533" s="293"/>
      <c r="J533" s="634"/>
      <c r="K533" s="635"/>
      <c r="L533" s="635"/>
      <c r="M533" s="636"/>
      <c r="N533" s="634"/>
      <c r="O533" s="634"/>
    </row>
    <row r="534">
      <c r="A534" s="92"/>
      <c r="C534" s="637"/>
      <c r="D534" s="293"/>
      <c r="E534" s="293"/>
      <c r="F534" s="293"/>
      <c r="G534" s="293"/>
      <c r="J534" s="634"/>
      <c r="K534" s="635"/>
      <c r="L534" s="635"/>
      <c r="M534" s="636"/>
      <c r="N534" s="634"/>
      <c r="O534" s="634"/>
    </row>
    <row r="535">
      <c r="A535" s="92"/>
      <c r="C535" s="637"/>
      <c r="D535" s="293"/>
      <c r="E535" s="293"/>
      <c r="F535" s="293"/>
      <c r="G535" s="293"/>
      <c r="J535" s="634"/>
      <c r="K535" s="635"/>
      <c r="L535" s="635"/>
      <c r="M535" s="636"/>
      <c r="N535" s="634"/>
      <c r="O535" s="634"/>
    </row>
    <row r="536">
      <c r="A536" s="92"/>
      <c r="C536" s="637"/>
      <c r="D536" s="293"/>
      <c r="E536" s="293"/>
      <c r="F536" s="293"/>
      <c r="G536" s="293"/>
      <c r="J536" s="634"/>
      <c r="K536" s="635"/>
      <c r="L536" s="635"/>
      <c r="M536" s="636"/>
      <c r="N536" s="634"/>
      <c r="O536" s="634"/>
    </row>
    <row r="537">
      <c r="A537" s="92"/>
      <c r="C537" s="637"/>
      <c r="D537" s="293"/>
      <c r="E537" s="293"/>
      <c r="F537" s="293"/>
      <c r="G537" s="293"/>
      <c r="J537" s="634"/>
      <c r="K537" s="635"/>
      <c r="L537" s="635"/>
      <c r="M537" s="636"/>
      <c r="N537" s="634"/>
      <c r="O537" s="634"/>
    </row>
    <row r="538">
      <c r="A538" s="92"/>
      <c r="C538" s="637"/>
      <c r="D538" s="293"/>
      <c r="E538" s="293"/>
      <c r="F538" s="293"/>
      <c r="G538" s="293"/>
      <c r="J538" s="634"/>
      <c r="K538" s="635"/>
      <c r="L538" s="635"/>
      <c r="M538" s="636"/>
      <c r="N538" s="634"/>
      <c r="O538" s="634"/>
    </row>
    <row r="539">
      <c r="A539" s="92"/>
      <c r="C539" s="637"/>
      <c r="D539" s="293"/>
      <c r="E539" s="293"/>
      <c r="F539" s="293"/>
      <c r="G539" s="293"/>
      <c r="J539" s="634"/>
      <c r="K539" s="635"/>
      <c r="L539" s="635"/>
      <c r="M539" s="636"/>
      <c r="N539" s="634"/>
      <c r="O539" s="634"/>
    </row>
    <row r="540">
      <c r="A540" s="92"/>
      <c r="C540" s="637"/>
      <c r="D540" s="293"/>
      <c r="E540" s="293"/>
      <c r="F540" s="293"/>
      <c r="G540" s="293"/>
      <c r="J540" s="634"/>
      <c r="K540" s="635"/>
      <c r="L540" s="635"/>
      <c r="M540" s="636"/>
      <c r="N540" s="634"/>
      <c r="O540" s="634"/>
    </row>
    <row r="541">
      <c r="A541" s="92"/>
      <c r="C541" s="637"/>
      <c r="D541" s="293"/>
      <c r="E541" s="293"/>
      <c r="F541" s="293"/>
      <c r="G541" s="293"/>
      <c r="J541" s="634"/>
      <c r="K541" s="635"/>
      <c r="L541" s="635"/>
      <c r="M541" s="636"/>
      <c r="N541" s="634"/>
      <c r="O541" s="634"/>
    </row>
    <row r="542">
      <c r="A542" s="92"/>
      <c r="C542" s="637"/>
      <c r="D542" s="293"/>
      <c r="E542" s="293"/>
      <c r="F542" s="293"/>
      <c r="G542" s="293"/>
      <c r="J542" s="634"/>
      <c r="K542" s="635"/>
      <c r="L542" s="635"/>
      <c r="M542" s="636"/>
      <c r="N542" s="634"/>
      <c r="O542" s="634"/>
    </row>
    <row r="543">
      <c r="A543" s="92"/>
      <c r="C543" s="637"/>
      <c r="D543" s="293"/>
      <c r="E543" s="293"/>
      <c r="F543" s="293"/>
      <c r="G543" s="293"/>
      <c r="J543" s="634"/>
      <c r="K543" s="635"/>
      <c r="L543" s="635"/>
      <c r="M543" s="636"/>
      <c r="N543" s="634"/>
      <c r="O543" s="634"/>
    </row>
    <row r="544">
      <c r="A544" s="92"/>
      <c r="C544" s="637"/>
      <c r="D544" s="293"/>
      <c r="E544" s="293"/>
      <c r="F544" s="293"/>
      <c r="G544" s="293"/>
      <c r="J544" s="634"/>
      <c r="K544" s="635"/>
      <c r="L544" s="635"/>
      <c r="M544" s="636"/>
      <c r="N544" s="634"/>
      <c r="O544" s="634"/>
    </row>
    <row r="545">
      <c r="A545" s="92"/>
      <c r="C545" s="637"/>
      <c r="D545" s="293"/>
      <c r="E545" s="293"/>
      <c r="F545" s="293"/>
      <c r="G545" s="293"/>
      <c r="J545" s="634"/>
      <c r="K545" s="635"/>
      <c r="L545" s="635"/>
      <c r="M545" s="636"/>
      <c r="N545" s="634"/>
      <c r="O545" s="634"/>
    </row>
    <row r="546">
      <c r="A546" s="92"/>
      <c r="C546" s="637"/>
      <c r="D546" s="293"/>
      <c r="E546" s="293"/>
      <c r="F546" s="293"/>
      <c r="G546" s="293"/>
      <c r="J546" s="634"/>
      <c r="K546" s="635"/>
      <c r="L546" s="635"/>
      <c r="M546" s="636"/>
      <c r="N546" s="634"/>
      <c r="O546" s="634"/>
    </row>
    <row r="547">
      <c r="A547" s="92"/>
      <c r="C547" s="637"/>
      <c r="D547" s="293"/>
      <c r="E547" s="293"/>
      <c r="F547" s="293"/>
      <c r="G547" s="293"/>
      <c r="J547" s="634"/>
      <c r="K547" s="635"/>
      <c r="L547" s="635"/>
      <c r="M547" s="636"/>
      <c r="N547" s="634"/>
      <c r="O547" s="634"/>
    </row>
    <row r="548">
      <c r="A548" s="92"/>
      <c r="C548" s="637"/>
      <c r="D548" s="293"/>
      <c r="E548" s="293"/>
      <c r="F548" s="293"/>
      <c r="G548" s="293"/>
      <c r="J548" s="634"/>
      <c r="K548" s="635"/>
      <c r="L548" s="635"/>
      <c r="M548" s="636"/>
      <c r="N548" s="634"/>
      <c r="O548" s="634"/>
    </row>
    <row r="549">
      <c r="A549" s="92"/>
      <c r="C549" s="637"/>
      <c r="D549" s="293"/>
      <c r="E549" s="293"/>
      <c r="F549" s="293"/>
      <c r="G549" s="293"/>
      <c r="J549" s="634"/>
      <c r="K549" s="635"/>
      <c r="L549" s="635"/>
      <c r="M549" s="636"/>
      <c r="N549" s="634"/>
      <c r="O549" s="634"/>
    </row>
    <row r="550">
      <c r="A550" s="92"/>
      <c r="C550" s="637"/>
      <c r="D550" s="293"/>
      <c r="E550" s="293"/>
      <c r="F550" s="293"/>
      <c r="G550" s="293"/>
      <c r="J550" s="634"/>
      <c r="K550" s="635"/>
      <c r="L550" s="635"/>
      <c r="M550" s="636"/>
      <c r="N550" s="634"/>
      <c r="O550" s="634"/>
    </row>
    <row r="551">
      <c r="A551" s="92"/>
      <c r="C551" s="637"/>
      <c r="D551" s="293"/>
      <c r="E551" s="293"/>
      <c r="F551" s="293"/>
      <c r="G551" s="293"/>
      <c r="J551" s="634"/>
      <c r="K551" s="635"/>
      <c r="L551" s="635"/>
      <c r="M551" s="636"/>
      <c r="N551" s="634"/>
      <c r="O551" s="634"/>
    </row>
    <row r="552">
      <c r="A552" s="92"/>
      <c r="C552" s="637"/>
      <c r="D552" s="293"/>
      <c r="E552" s="293"/>
      <c r="F552" s="293"/>
      <c r="G552" s="293"/>
      <c r="J552" s="634"/>
      <c r="K552" s="635"/>
      <c r="L552" s="635"/>
      <c r="M552" s="636"/>
      <c r="N552" s="634"/>
      <c r="O552" s="634"/>
    </row>
    <row r="553">
      <c r="A553" s="92"/>
      <c r="C553" s="637"/>
      <c r="D553" s="293"/>
      <c r="E553" s="293"/>
      <c r="F553" s="293"/>
      <c r="G553" s="293"/>
      <c r="J553" s="634"/>
      <c r="K553" s="635"/>
      <c r="L553" s="635"/>
      <c r="M553" s="636"/>
      <c r="N553" s="634"/>
      <c r="O553" s="634"/>
    </row>
    <row r="554">
      <c r="A554" s="92"/>
      <c r="C554" s="637"/>
      <c r="D554" s="293"/>
      <c r="E554" s="293"/>
      <c r="F554" s="293"/>
      <c r="G554" s="293"/>
      <c r="J554" s="634"/>
      <c r="K554" s="635"/>
      <c r="L554" s="635"/>
      <c r="M554" s="636"/>
      <c r="N554" s="634"/>
      <c r="O554" s="634"/>
    </row>
    <row r="555">
      <c r="A555" s="92"/>
      <c r="C555" s="637"/>
      <c r="D555" s="293"/>
      <c r="E555" s="293"/>
      <c r="F555" s="293"/>
      <c r="G555" s="293"/>
      <c r="J555" s="634"/>
      <c r="K555" s="635"/>
      <c r="L555" s="635"/>
      <c r="M555" s="636"/>
      <c r="N555" s="634"/>
      <c r="O555" s="634"/>
    </row>
    <row r="556">
      <c r="A556" s="92"/>
      <c r="C556" s="637"/>
      <c r="D556" s="293"/>
      <c r="E556" s="293"/>
      <c r="F556" s="293"/>
      <c r="G556" s="293"/>
      <c r="J556" s="634"/>
      <c r="K556" s="635"/>
      <c r="L556" s="635"/>
      <c r="M556" s="636"/>
      <c r="N556" s="634"/>
      <c r="O556" s="634"/>
    </row>
    <row r="557">
      <c r="A557" s="92"/>
      <c r="C557" s="637"/>
      <c r="D557" s="293"/>
      <c r="E557" s="293"/>
      <c r="F557" s="293"/>
      <c r="G557" s="293"/>
      <c r="J557" s="634"/>
      <c r="K557" s="635"/>
      <c r="L557" s="635"/>
      <c r="M557" s="636"/>
      <c r="N557" s="634"/>
      <c r="O557" s="634"/>
    </row>
    <row r="558">
      <c r="A558" s="92"/>
      <c r="C558" s="637"/>
      <c r="D558" s="293"/>
      <c r="E558" s="293"/>
      <c r="F558" s="293"/>
      <c r="G558" s="293"/>
      <c r="J558" s="634"/>
      <c r="K558" s="635"/>
      <c r="L558" s="635"/>
      <c r="M558" s="636"/>
      <c r="N558" s="634"/>
      <c r="O558" s="634"/>
    </row>
    <row r="559">
      <c r="A559" s="92"/>
      <c r="C559" s="637"/>
      <c r="D559" s="293"/>
      <c r="E559" s="293"/>
      <c r="F559" s="293"/>
      <c r="G559" s="293"/>
      <c r="J559" s="634"/>
      <c r="K559" s="635"/>
      <c r="L559" s="635"/>
      <c r="M559" s="636"/>
      <c r="N559" s="634"/>
      <c r="O559" s="634"/>
    </row>
    <row r="560">
      <c r="A560" s="92"/>
      <c r="C560" s="637"/>
      <c r="D560" s="293"/>
      <c r="E560" s="293"/>
      <c r="F560" s="293"/>
      <c r="G560" s="293"/>
      <c r="J560" s="634"/>
      <c r="K560" s="635"/>
      <c r="L560" s="635"/>
      <c r="M560" s="636"/>
      <c r="N560" s="634"/>
      <c r="O560" s="634"/>
    </row>
    <row r="561">
      <c r="A561" s="92"/>
      <c r="C561" s="637"/>
      <c r="D561" s="293"/>
      <c r="E561" s="293"/>
      <c r="F561" s="293"/>
      <c r="G561" s="293"/>
      <c r="J561" s="634"/>
      <c r="K561" s="635"/>
      <c r="L561" s="635"/>
      <c r="M561" s="636"/>
      <c r="N561" s="634"/>
      <c r="O561" s="634"/>
    </row>
    <row r="562">
      <c r="A562" s="92"/>
      <c r="C562" s="637"/>
      <c r="D562" s="293"/>
      <c r="E562" s="293"/>
      <c r="F562" s="293"/>
      <c r="G562" s="293"/>
      <c r="J562" s="634"/>
      <c r="K562" s="635"/>
      <c r="L562" s="635"/>
      <c r="M562" s="636"/>
      <c r="N562" s="634"/>
      <c r="O562" s="634"/>
    </row>
    <row r="563">
      <c r="A563" s="92"/>
      <c r="C563" s="637"/>
      <c r="D563" s="293"/>
      <c r="E563" s="293"/>
      <c r="F563" s="293"/>
      <c r="G563" s="293"/>
      <c r="J563" s="634"/>
      <c r="K563" s="635"/>
      <c r="L563" s="635"/>
      <c r="M563" s="636"/>
      <c r="N563" s="634"/>
      <c r="O563" s="634"/>
    </row>
    <row r="564">
      <c r="A564" s="92"/>
      <c r="C564" s="637"/>
      <c r="D564" s="293"/>
      <c r="E564" s="293"/>
      <c r="F564" s="293"/>
      <c r="G564" s="293"/>
      <c r="J564" s="634"/>
      <c r="K564" s="635"/>
      <c r="L564" s="635"/>
      <c r="M564" s="636"/>
      <c r="N564" s="634"/>
      <c r="O564" s="634"/>
    </row>
    <row r="565">
      <c r="A565" s="92"/>
      <c r="C565" s="637"/>
      <c r="D565" s="293"/>
      <c r="E565" s="293"/>
      <c r="F565" s="293"/>
      <c r="G565" s="293"/>
      <c r="J565" s="634"/>
      <c r="K565" s="635"/>
      <c r="L565" s="635"/>
      <c r="M565" s="636"/>
      <c r="N565" s="634"/>
      <c r="O565" s="634"/>
    </row>
    <row r="566">
      <c r="A566" s="92"/>
      <c r="C566" s="637"/>
      <c r="D566" s="293"/>
      <c r="E566" s="293"/>
      <c r="F566" s="293"/>
      <c r="G566" s="293"/>
      <c r="J566" s="634"/>
      <c r="K566" s="635"/>
      <c r="L566" s="635"/>
      <c r="M566" s="636"/>
      <c r="N566" s="634"/>
      <c r="O566" s="634"/>
    </row>
    <row r="567">
      <c r="A567" s="92"/>
      <c r="C567" s="637"/>
      <c r="D567" s="293"/>
      <c r="E567" s="293"/>
      <c r="F567" s="293"/>
      <c r="G567" s="293"/>
      <c r="J567" s="634"/>
      <c r="K567" s="635"/>
      <c r="L567" s="635"/>
      <c r="M567" s="636"/>
      <c r="N567" s="634"/>
      <c r="O567" s="634"/>
    </row>
    <row r="568">
      <c r="A568" s="92"/>
      <c r="C568" s="637"/>
      <c r="D568" s="293"/>
      <c r="E568" s="293"/>
      <c r="F568" s="293"/>
      <c r="G568" s="293"/>
      <c r="J568" s="634"/>
      <c r="K568" s="635"/>
      <c r="L568" s="635"/>
      <c r="M568" s="636"/>
      <c r="N568" s="634"/>
      <c r="O568" s="634"/>
    </row>
    <row r="569">
      <c r="A569" s="92"/>
      <c r="C569" s="637"/>
      <c r="D569" s="293"/>
      <c r="E569" s="293"/>
      <c r="F569" s="293"/>
      <c r="G569" s="293"/>
      <c r="J569" s="634"/>
      <c r="K569" s="635"/>
      <c r="L569" s="635"/>
      <c r="M569" s="636"/>
      <c r="N569" s="634"/>
      <c r="O569" s="634"/>
    </row>
    <row r="570">
      <c r="A570" s="92"/>
      <c r="C570" s="637"/>
      <c r="D570" s="293"/>
      <c r="E570" s="293"/>
      <c r="F570" s="293"/>
      <c r="G570" s="293"/>
      <c r="J570" s="634"/>
      <c r="K570" s="635"/>
      <c r="L570" s="635"/>
      <c r="M570" s="636"/>
      <c r="N570" s="634"/>
      <c r="O570" s="634"/>
    </row>
    <row r="571">
      <c r="A571" s="92"/>
      <c r="C571" s="637"/>
      <c r="D571" s="293"/>
      <c r="E571" s="293"/>
      <c r="F571" s="293"/>
      <c r="G571" s="293"/>
      <c r="J571" s="634"/>
      <c r="K571" s="635"/>
      <c r="L571" s="635"/>
      <c r="M571" s="636"/>
      <c r="N571" s="634"/>
      <c r="O571" s="634"/>
    </row>
    <row r="572">
      <c r="A572" s="92"/>
      <c r="C572" s="637"/>
      <c r="D572" s="293"/>
      <c r="E572" s="293"/>
      <c r="F572" s="293"/>
      <c r="G572" s="293"/>
      <c r="J572" s="634"/>
      <c r="K572" s="635"/>
      <c r="L572" s="635"/>
      <c r="M572" s="636"/>
      <c r="N572" s="634"/>
      <c r="O572" s="634"/>
    </row>
    <row r="573">
      <c r="A573" s="92"/>
      <c r="C573" s="637"/>
      <c r="D573" s="293"/>
      <c r="E573" s="293"/>
      <c r="F573" s="293"/>
      <c r="G573" s="293"/>
      <c r="J573" s="634"/>
      <c r="K573" s="635"/>
      <c r="L573" s="635"/>
      <c r="M573" s="636"/>
      <c r="N573" s="634"/>
      <c r="O573" s="634"/>
    </row>
    <row r="574">
      <c r="A574" s="92"/>
      <c r="C574" s="637"/>
      <c r="D574" s="293"/>
      <c r="E574" s="293"/>
      <c r="F574" s="293"/>
      <c r="G574" s="293"/>
      <c r="J574" s="634"/>
      <c r="K574" s="635"/>
      <c r="L574" s="635"/>
      <c r="M574" s="636"/>
      <c r="N574" s="634"/>
      <c r="O574" s="634"/>
    </row>
    <row r="575">
      <c r="A575" s="92"/>
      <c r="C575" s="637"/>
      <c r="D575" s="293"/>
      <c r="E575" s="293"/>
      <c r="F575" s="293"/>
      <c r="G575" s="293"/>
      <c r="J575" s="634"/>
      <c r="K575" s="635"/>
      <c r="L575" s="635"/>
      <c r="M575" s="636"/>
      <c r="N575" s="634"/>
      <c r="O575" s="634"/>
    </row>
    <row r="576">
      <c r="A576" s="92"/>
      <c r="C576" s="637"/>
      <c r="D576" s="293"/>
      <c r="E576" s="293"/>
      <c r="F576" s="293"/>
      <c r="G576" s="293"/>
      <c r="J576" s="634"/>
      <c r="K576" s="635"/>
      <c r="L576" s="635"/>
      <c r="M576" s="636"/>
      <c r="N576" s="634"/>
      <c r="O576" s="634"/>
    </row>
    <row r="577">
      <c r="A577" s="92"/>
      <c r="C577" s="637"/>
      <c r="D577" s="293"/>
      <c r="E577" s="293"/>
      <c r="F577" s="293"/>
      <c r="G577" s="293"/>
      <c r="J577" s="634"/>
      <c r="K577" s="635"/>
      <c r="L577" s="635"/>
      <c r="M577" s="636"/>
      <c r="N577" s="634"/>
      <c r="O577" s="634"/>
    </row>
    <row r="578">
      <c r="A578" s="92"/>
      <c r="C578" s="637"/>
      <c r="D578" s="293"/>
      <c r="E578" s="293"/>
      <c r="F578" s="293"/>
      <c r="G578" s="293"/>
      <c r="J578" s="634"/>
      <c r="K578" s="635"/>
      <c r="L578" s="635"/>
      <c r="M578" s="636"/>
      <c r="N578" s="634"/>
      <c r="O578" s="634"/>
    </row>
    <row r="579">
      <c r="A579" s="92"/>
      <c r="C579" s="637"/>
      <c r="D579" s="293"/>
      <c r="E579" s="293"/>
      <c r="F579" s="293"/>
      <c r="G579" s="293"/>
      <c r="J579" s="634"/>
      <c r="K579" s="635"/>
      <c r="L579" s="635"/>
      <c r="M579" s="636"/>
      <c r="N579" s="634"/>
      <c r="O579" s="634"/>
    </row>
    <row r="580">
      <c r="A580" s="92"/>
      <c r="C580" s="637"/>
      <c r="D580" s="293"/>
      <c r="E580" s="293"/>
      <c r="F580" s="293"/>
      <c r="G580" s="293"/>
      <c r="J580" s="634"/>
      <c r="K580" s="635"/>
      <c r="L580" s="635"/>
      <c r="M580" s="636"/>
      <c r="N580" s="634"/>
      <c r="O580" s="634"/>
    </row>
    <row r="581">
      <c r="A581" s="92"/>
      <c r="C581" s="637"/>
      <c r="D581" s="293"/>
      <c r="E581" s="293"/>
      <c r="F581" s="293"/>
      <c r="G581" s="293"/>
      <c r="J581" s="634"/>
      <c r="K581" s="635"/>
      <c r="L581" s="635"/>
      <c r="M581" s="636"/>
      <c r="N581" s="634"/>
      <c r="O581" s="634"/>
    </row>
    <row r="582">
      <c r="A582" s="92"/>
      <c r="C582" s="637"/>
      <c r="D582" s="293"/>
      <c r="E582" s="293"/>
      <c r="F582" s="293"/>
      <c r="G582" s="293"/>
      <c r="J582" s="634"/>
      <c r="K582" s="635"/>
      <c r="L582" s="635"/>
      <c r="M582" s="636"/>
      <c r="N582" s="634"/>
      <c r="O582" s="634"/>
    </row>
    <row r="583">
      <c r="A583" s="92"/>
      <c r="C583" s="637"/>
      <c r="D583" s="293"/>
      <c r="E583" s="293"/>
      <c r="F583" s="293"/>
      <c r="G583" s="293"/>
      <c r="J583" s="634"/>
      <c r="K583" s="635"/>
      <c r="L583" s="635"/>
      <c r="M583" s="636"/>
      <c r="N583" s="634"/>
      <c r="O583" s="634"/>
    </row>
    <row r="584">
      <c r="A584" s="92"/>
      <c r="C584" s="637"/>
      <c r="D584" s="293"/>
      <c r="E584" s="293"/>
      <c r="F584" s="293"/>
      <c r="G584" s="293"/>
      <c r="J584" s="634"/>
      <c r="K584" s="635"/>
      <c r="L584" s="635"/>
      <c r="M584" s="636"/>
      <c r="N584" s="634"/>
      <c r="O584" s="634"/>
    </row>
    <row r="585">
      <c r="A585" s="92"/>
      <c r="C585" s="637"/>
      <c r="D585" s="293"/>
      <c r="E585" s="293"/>
      <c r="F585" s="293"/>
      <c r="G585" s="293"/>
      <c r="J585" s="634"/>
      <c r="K585" s="635"/>
      <c r="L585" s="635"/>
      <c r="M585" s="636"/>
      <c r="N585" s="634"/>
      <c r="O585" s="634"/>
    </row>
    <row r="586">
      <c r="A586" s="92"/>
      <c r="C586" s="637"/>
      <c r="D586" s="293"/>
      <c r="E586" s="293"/>
      <c r="F586" s="293"/>
      <c r="G586" s="293"/>
      <c r="J586" s="634"/>
      <c r="K586" s="635"/>
      <c r="L586" s="635"/>
      <c r="M586" s="636"/>
      <c r="N586" s="634"/>
      <c r="O586" s="634"/>
    </row>
    <row r="587">
      <c r="A587" s="92"/>
      <c r="C587" s="637"/>
      <c r="D587" s="293"/>
      <c r="E587" s="293"/>
      <c r="F587" s="293"/>
      <c r="G587" s="293"/>
      <c r="J587" s="634"/>
      <c r="K587" s="635"/>
      <c r="L587" s="635"/>
      <c r="M587" s="636"/>
      <c r="N587" s="634"/>
      <c r="O587" s="634"/>
    </row>
    <row r="588">
      <c r="A588" s="92"/>
      <c r="C588" s="637"/>
      <c r="D588" s="293"/>
      <c r="E588" s="293"/>
      <c r="F588" s="293"/>
      <c r="G588" s="293"/>
      <c r="J588" s="634"/>
      <c r="K588" s="635"/>
      <c r="L588" s="635"/>
      <c r="M588" s="636"/>
      <c r="N588" s="634"/>
      <c r="O588" s="634"/>
    </row>
    <row r="589">
      <c r="A589" s="92"/>
      <c r="C589" s="637"/>
      <c r="D589" s="293"/>
      <c r="E589" s="293"/>
      <c r="F589" s="293"/>
      <c r="G589" s="293"/>
      <c r="J589" s="634"/>
      <c r="K589" s="635"/>
      <c r="L589" s="635"/>
      <c r="M589" s="636"/>
      <c r="N589" s="634"/>
      <c r="O589" s="634"/>
    </row>
    <row r="590">
      <c r="A590" s="92"/>
      <c r="C590" s="637"/>
      <c r="D590" s="293"/>
      <c r="E590" s="293"/>
      <c r="F590" s="293"/>
      <c r="G590" s="293"/>
      <c r="J590" s="634"/>
      <c r="K590" s="635"/>
      <c r="L590" s="635"/>
      <c r="M590" s="636"/>
      <c r="N590" s="634"/>
      <c r="O590" s="634"/>
    </row>
    <row r="591">
      <c r="A591" s="92"/>
      <c r="C591" s="637"/>
      <c r="D591" s="293"/>
      <c r="E591" s="293"/>
      <c r="F591" s="293"/>
      <c r="G591" s="293"/>
      <c r="J591" s="634"/>
      <c r="K591" s="635"/>
      <c r="L591" s="635"/>
      <c r="M591" s="636"/>
      <c r="N591" s="634"/>
      <c r="O591" s="634"/>
    </row>
    <row r="592">
      <c r="A592" s="92"/>
      <c r="C592" s="637"/>
      <c r="D592" s="293"/>
      <c r="E592" s="293"/>
      <c r="F592" s="293"/>
      <c r="G592" s="293"/>
      <c r="J592" s="634"/>
      <c r="K592" s="635"/>
      <c r="L592" s="635"/>
      <c r="M592" s="636"/>
      <c r="N592" s="634"/>
      <c r="O592" s="634"/>
    </row>
    <row r="593">
      <c r="A593" s="92"/>
      <c r="C593" s="637"/>
      <c r="D593" s="293"/>
      <c r="E593" s="293"/>
      <c r="F593" s="293"/>
      <c r="G593" s="293"/>
      <c r="J593" s="634"/>
      <c r="K593" s="635"/>
      <c r="L593" s="635"/>
      <c r="M593" s="636"/>
      <c r="N593" s="634"/>
      <c r="O593" s="634"/>
    </row>
    <row r="594">
      <c r="A594" s="92"/>
      <c r="C594" s="637"/>
      <c r="D594" s="293"/>
      <c r="E594" s="293"/>
      <c r="F594" s="293"/>
      <c r="G594" s="293"/>
      <c r="J594" s="634"/>
      <c r="K594" s="635"/>
      <c r="L594" s="635"/>
      <c r="M594" s="636"/>
      <c r="N594" s="634"/>
      <c r="O594" s="634"/>
    </row>
    <row r="595">
      <c r="A595" s="92"/>
      <c r="C595" s="637"/>
      <c r="D595" s="293"/>
      <c r="E595" s="293"/>
      <c r="F595" s="293"/>
      <c r="G595" s="293"/>
      <c r="J595" s="634"/>
      <c r="K595" s="635"/>
      <c r="L595" s="635"/>
      <c r="M595" s="636"/>
      <c r="N595" s="634"/>
      <c r="O595" s="634"/>
    </row>
    <row r="596">
      <c r="A596" s="92"/>
      <c r="C596" s="637"/>
      <c r="D596" s="293"/>
      <c r="E596" s="293"/>
      <c r="F596" s="293"/>
      <c r="G596" s="293"/>
      <c r="J596" s="634"/>
      <c r="K596" s="635"/>
      <c r="L596" s="635"/>
      <c r="M596" s="636"/>
      <c r="N596" s="634"/>
      <c r="O596" s="634"/>
    </row>
    <row r="597">
      <c r="A597" s="92"/>
      <c r="C597" s="637"/>
      <c r="D597" s="293"/>
      <c r="E597" s="293"/>
      <c r="F597" s="293"/>
      <c r="G597" s="293"/>
      <c r="J597" s="634"/>
      <c r="K597" s="635"/>
      <c r="L597" s="635"/>
      <c r="M597" s="636"/>
      <c r="N597" s="634"/>
      <c r="O597" s="634"/>
    </row>
    <row r="598">
      <c r="A598" s="92"/>
      <c r="C598" s="637"/>
      <c r="D598" s="293"/>
      <c r="E598" s="293"/>
      <c r="F598" s="293"/>
      <c r="G598" s="293"/>
      <c r="J598" s="634"/>
      <c r="K598" s="635"/>
      <c r="L598" s="635"/>
      <c r="M598" s="636"/>
      <c r="N598" s="634"/>
      <c r="O598" s="634"/>
    </row>
    <row r="599">
      <c r="A599" s="92"/>
      <c r="C599" s="637"/>
      <c r="D599" s="293"/>
      <c r="E599" s="293"/>
      <c r="F599" s="293"/>
      <c r="G599" s="293"/>
      <c r="J599" s="634"/>
      <c r="K599" s="635"/>
      <c r="L599" s="635"/>
      <c r="M599" s="636"/>
      <c r="N599" s="634"/>
      <c r="O599" s="634"/>
    </row>
    <row r="600">
      <c r="A600" s="92"/>
      <c r="C600" s="637"/>
      <c r="D600" s="293"/>
      <c r="E600" s="293"/>
      <c r="F600" s="293"/>
      <c r="G600" s="293"/>
      <c r="J600" s="634"/>
      <c r="K600" s="635"/>
      <c r="L600" s="635"/>
      <c r="M600" s="636"/>
      <c r="N600" s="634"/>
      <c r="O600" s="634"/>
    </row>
    <row r="601">
      <c r="A601" s="92"/>
      <c r="C601" s="637"/>
      <c r="D601" s="293"/>
      <c r="E601" s="293"/>
      <c r="F601" s="293"/>
      <c r="G601" s="293"/>
      <c r="J601" s="634"/>
      <c r="K601" s="635"/>
      <c r="L601" s="635"/>
      <c r="M601" s="636"/>
      <c r="N601" s="634"/>
      <c r="O601" s="634"/>
    </row>
    <row r="602">
      <c r="A602" s="92"/>
      <c r="C602" s="637"/>
      <c r="D602" s="293"/>
      <c r="E602" s="293"/>
      <c r="F602" s="293"/>
      <c r="G602" s="293"/>
      <c r="J602" s="634"/>
      <c r="K602" s="635"/>
      <c r="L602" s="635"/>
      <c r="M602" s="636"/>
      <c r="N602" s="634"/>
      <c r="O602" s="634"/>
    </row>
    <row r="603">
      <c r="A603" s="92"/>
      <c r="C603" s="637"/>
      <c r="D603" s="293"/>
      <c r="E603" s="293"/>
      <c r="F603" s="293"/>
      <c r="G603" s="293"/>
      <c r="J603" s="634"/>
      <c r="K603" s="635"/>
      <c r="L603" s="635"/>
      <c r="M603" s="636"/>
      <c r="N603" s="634"/>
      <c r="O603" s="634"/>
    </row>
    <row r="604">
      <c r="A604" s="92"/>
      <c r="C604" s="637"/>
      <c r="D604" s="293"/>
      <c r="E604" s="293"/>
      <c r="F604" s="293"/>
      <c r="G604" s="293"/>
      <c r="J604" s="634"/>
      <c r="K604" s="635"/>
      <c r="L604" s="635"/>
      <c r="M604" s="636"/>
      <c r="N604" s="634"/>
      <c r="O604" s="634"/>
    </row>
    <row r="605">
      <c r="A605" s="92"/>
      <c r="C605" s="637"/>
      <c r="D605" s="293"/>
      <c r="E605" s="293"/>
      <c r="F605" s="293"/>
      <c r="G605" s="293"/>
      <c r="J605" s="634"/>
      <c r="K605" s="635"/>
      <c r="L605" s="635"/>
      <c r="M605" s="636"/>
      <c r="N605" s="634"/>
      <c r="O605" s="634"/>
    </row>
    <row r="606">
      <c r="A606" s="92"/>
      <c r="C606" s="637"/>
      <c r="D606" s="293"/>
      <c r="E606" s="293"/>
      <c r="F606" s="293"/>
      <c r="G606" s="293"/>
      <c r="J606" s="634"/>
      <c r="K606" s="635"/>
      <c r="L606" s="635"/>
      <c r="M606" s="636"/>
      <c r="N606" s="634"/>
      <c r="O606" s="634"/>
    </row>
    <row r="607">
      <c r="A607" s="92"/>
      <c r="C607" s="637"/>
      <c r="D607" s="293"/>
      <c r="E607" s="293"/>
      <c r="F607" s="293"/>
      <c r="G607" s="293"/>
      <c r="J607" s="634"/>
      <c r="K607" s="635"/>
      <c r="L607" s="635"/>
      <c r="M607" s="636"/>
      <c r="N607" s="634"/>
      <c r="O607" s="634"/>
    </row>
    <row r="608">
      <c r="A608" s="92"/>
      <c r="C608" s="637"/>
      <c r="D608" s="293"/>
      <c r="E608" s="293"/>
      <c r="F608" s="293"/>
      <c r="G608" s="293"/>
      <c r="J608" s="634"/>
      <c r="K608" s="635"/>
      <c r="L608" s="635"/>
      <c r="M608" s="636"/>
      <c r="N608" s="634"/>
      <c r="O608" s="634"/>
    </row>
    <row r="609">
      <c r="A609" s="92"/>
      <c r="C609" s="637"/>
      <c r="D609" s="293"/>
      <c r="E609" s="293"/>
      <c r="F609" s="293"/>
      <c r="G609" s="293"/>
      <c r="J609" s="634"/>
      <c r="K609" s="635"/>
      <c r="L609" s="635"/>
      <c r="M609" s="636"/>
      <c r="N609" s="634"/>
      <c r="O609" s="634"/>
    </row>
    <row r="610">
      <c r="A610" s="92"/>
      <c r="C610" s="637"/>
      <c r="D610" s="293"/>
      <c r="E610" s="293"/>
      <c r="F610" s="293"/>
      <c r="G610" s="293"/>
      <c r="J610" s="634"/>
      <c r="K610" s="635"/>
      <c r="L610" s="635"/>
      <c r="M610" s="636"/>
      <c r="N610" s="634"/>
      <c r="O610" s="634"/>
    </row>
    <row r="611">
      <c r="A611" s="92"/>
      <c r="C611" s="637"/>
      <c r="D611" s="293"/>
      <c r="E611" s="293"/>
      <c r="F611" s="293"/>
      <c r="G611" s="293"/>
      <c r="J611" s="634"/>
      <c r="K611" s="635"/>
      <c r="L611" s="635"/>
      <c r="M611" s="636"/>
      <c r="N611" s="634"/>
      <c r="O611" s="634"/>
    </row>
    <row r="612">
      <c r="A612" s="92"/>
      <c r="C612" s="637"/>
      <c r="D612" s="293"/>
      <c r="E612" s="293"/>
      <c r="F612" s="293"/>
      <c r="G612" s="293"/>
      <c r="J612" s="634"/>
      <c r="K612" s="635"/>
      <c r="L612" s="635"/>
      <c r="M612" s="636"/>
      <c r="N612" s="634"/>
      <c r="O612" s="634"/>
    </row>
    <row r="613">
      <c r="A613" s="92"/>
      <c r="C613" s="637"/>
      <c r="D613" s="293"/>
      <c r="E613" s="293"/>
      <c r="F613" s="293"/>
      <c r="G613" s="293"/>
      <c r="J613" s="634"/>
      <c r="K613" s="635"/>
      <c r="L613" s="635"/>
      <c r="M613" s="636"/>
      <c r="N613" s="634"/>
      <c r="O613" s="634"/>
    </row>
    <row r="614">
      <c r="A614" s="92"/>
      <c r="C614" s="637"/>
      <c r="D614" s="293"/>
      <c r="E614" s="293"/>
      <c r="F614" s="293"/>
      <c r="G614" s="293"/>
      <c r="J614" s="634"/>
      <c r="K614" s="635"/>
      <c r="L614" s="635"/>
      <c r="M614" s="636"/>
      <c r="N614" s="634"/>
      <c r="O614" s="634"/>
    </row>
    <row r="615">
      <c r="A615" s="92"/>
      <c r="C615" s="637"/>
      <c r="D615" s="293"/>
      <c r="E615" s="293"/>
      <c r="F615" s="293"/>
      <c r="G615" s="293"/>
      <c r="J615" s="634"/>
      <c r="K615" s="635"/>
      <c r="L615" s="635"/>
      <c r="M615" s="636"/>
      <c r="N615" s="634"/>
      <c r="O615" s="634"/>
    </row>
    <row r="616">
      <c r="A616" s="92"/>
      <c r="C616" s="637"/>
      <c r="D616" s="293"/>
      <c r="E616" s="293"/>
      <c r="F616" s="293"/>
      <c r="G616" s="293"/>
      <c r="J616" s="634"/>
      <c r="K616" s="635"/>
      <c r="L616" s="635"/>
      <c r="M616" s="636"/>
      <c r="N616" s="634"/>
      <c r="O616" s="634"/>
    </row>
    <row r="617">
      <c r="A617" s="92"/>
      <c r="C617" s="637"/>
      <c r="D617" s="293"/>
      <c r="E617" s="293"/>
      <c r="F617" s="293"/>
      <c r="G617" s="293"/>
      <c r="J617" s="634"/>
      <c r="K617" s="635"/>
      <c r="L617" s="635"/>
      <c r="M617" s="636"/>
      <c r="N617" s="634"/>
      <c r="O617" s="634"/>
    </row>
    <row r="618">
      <c r="A618" s="92"/>
      <c r="C618" s="637"/>
      <c r="D618" s="293"/>
      <c r="E618" s="293"/>
      <c r="F618" s="293"/>
      <c r="G618" s="293"/>
      <c r="J618" s="634"/>
      <c r="K618" s="635"/>
      <c r="L618" s="635"/>
      <c r="M618" s="636"/>
      <c r="N618" s="634"/>
      <c r="O618" s="634"/>
    </row>
    <row r="619">
      <c r="A619" s="92"/>
      <c r="C619" s="637"/>
      <c r="D619" s="293"/>
      <c r="E619" s="293"/>
      <c r="F619" s="293"/>
      <c r="G619" s="293"/>
      <c r="J619" s="634"/>
      <c r="K619" s="635"/>
      <c r="L619" s="635"/>
      <c r="M619" s="636"/>
      <c r="N619" s="634"/>
      <c r="O619" s="634"/>
    </row>
    <row r="620">
      <c r="A620" s="92"/>
      <c r="C620" s="637"/>
      <c r="D620" s="293"/>
      <c r="E620" s="293"/>
      <c r="F620" s="293"/>
      <c r="G620" s="293"/>
      <c r="J620" s="634"/>
      <c r="K620" s="635"/>
      <c r="L620" s="635"/>
      <c r="M620" s="636"/>
      <c r="N620" s="634"/>
      <c r="O620" s="634"/>
    </row>
    <row r="621">
      <c r="A621" s="92"/>
      <c r="C621" s="637"/>
      <c r="D621" s="293"/>
      <c r="E621" s="293"/>
      <c r="F621" s="293"/>
      <c r="G621" s="293"/>
      <c r="J621" s="634"/>
      <c r="K621" s="635"/>
      <c r="L621" s="635"/>
      <c r="M621" s="636"/>
      <c r="N621" s="634"/>
      <c r="O621" s="634"/>
    </row>
    <row r="622">
      <c r="A622" s="92"/>
      <c r="C622" s="637"/>
      <c r="D622" s="293"/>
      <c r="E622" s="293"/>
      <c r="F622" s="293"/>
      <c r="G622" s="293"/>
      <c r="J622" s="634"/>
      <c r="K622" s="635"/>
      <c r="L622" s="635"/>
      <c r="M622" s="636"/>
      <c r="N622" s="634"/>
      <c r="O622" s="634"/>
    </row>
    <row r="623">
      <c r="A623" s="92"/>
      <c r="C623" s="637"/>
      <c r="D623" s="293"/>
      <c r="E623" s="293"/>
      <c r="F623" s="293"/>
      <c r="G623" s="293"/>
      <c r="J623" s="634"/>
      <c r="K623" s="635"/>
      <c r="L623" s="635"/>
      <c r="M623" s="636"/>
      <c r="N623" s="634"/>
      <c r="O623" s="634"/>
    </row>
    <row r="624">
      <c r="A624" s="92"/>
      <c r="C624" s="637"/>
      <c r="D624" s="293"/>
      <c r="E624" s="293"/>
      <c r="F624" s="293"/>
      <c r="G624" s="293"/>
      <c r="J624" s="634"/>
      <c r="K624" s="635"/>
      <c r="L624" s="635"/>
      <c r="M624" s="636"/>
      <c r="N624" s="634"/>
      <c r="O624" s="634"/>
    </row>
    <row r="625">
      <c r="A625" s="92"/>
      <c r="C625" s="637"/>
      <c r="D625" s="293"/>
      <c r="E625" s="293"/>
      <c r="F625" s="293"/>
      <c r="G625" s="293"/>
      <c r="J625" s="634"/>
      <c r="K625" s="635"/>
      <c r="L625" s="635"/>
      <c r="M625" s="636"/>
      <c r="N625" s="634"/>
      <c r="O625" s="634"/>
    </row>
    <row r="626">
      <c r="A626" s="92"/>
      <c r="C626" s="637"/>
      <c r="D626" s="293"/>
      <c r="E626" s="293"/>
      <c r="F626" s="293"/>
      <c r="G626" s="293"/>
      <c r="J626" s="634"/>
      <c r="K626" s="635"/>
      <c r="L626" s="635"/>
      <c r="M626" s="636"/>
      <c r="N626" s="634"/>
      <c r="O626" s="634"/>
    </row>
    <row r="627">
      <c r="A627" s="92"/>
      <c r="C627" s="637"/>
      <c r="D627" s="293"/>
      <c r="E627" s="293"/>
      <c r="F627" s="293"/>
      <c r="G627" s="293"/>
      <c r="J627" s="634"/>
      <c r="K627" s="635"/>
      <c r="L627" s="635"/>
      <c r="M627" s="636"/>
      <c r="N627" s="634"/>
      <c r="O627" s="634"/>
    </row>
    <row r="628">
      <c r="A628" s="92"/>
      <c r="C628" s="637"/>
      <c r="D628" s="293"/>
      <c r="E628" s="293"/>
      <c r="F628" s="293"/>
      <c r="G628" s="293"/>
      <c r="J628" s="634"/>
      <c r="K628" s="635"/>
      <c r="L628" s="635"/>
      <c r="M628" s="636"/>
      <c r="N628" s="634"/>
      <c r="O628" s="634"/>
    </row>
    <row r="629">
      <c r="A629" s="92"/>
      <c r="C629" s="637"/>
      <c r="D629" s="293"/>
      <c r="E629" s="293"/>
      <c r="F629" s="293"/>
      <c r="G629" s="293"/>
      <c r="J629" s="634"/>
      <c r="K629" s="635"/>
      <c r="L629" s="635"/>
      <c r="M629" s="636"/>
      <c r="N629" s="634"/>
      <c r="O629" s="634"/>
    </row>
    <row r="630">
      <c r="A630" s="92"/>
      <c r="C630" s="637"/>
      <c r="D630" s="293"/>
      <c r="E630" s="293"/>
      <c r="F630" s="293"/>
      <c r="G630" s="293"/>
      <c r="J630" s="634"/>
      <c r="K630" s="635"/>
      <c r="L630" s="635"/>
      <c r="M630" s="636"/>
      <c r="N630" s="634"/>
      <c r="O630" s="634"/>
    </row>
    <row r="631">
      <c r="A631" s="92"/>
      <c r="C631" s="637"/>
      <c r="D631" s="293"/>
      <c r="E631" s="293"/>
      <c r="F631" s="293"/>
      <c r="G631" s="293"/>
      <c r="J631" s="634"/>
      <c r="K631" s="635"/>
      <c r="L631" s="635"/>
      <c r="M631" s="636"/>
      <c r="N631" s="634"/>
      <c r="O631" s="634"/>
    </row>
    <row r="632">
      <c r="A632" s="92"/>
      <c r="C632" s="637"/>
      <c r="D632" s="293"/>
      <c r="E632" s="293"/>
      <c r="F632" s="293"/>
      <c r="G632" s="293"/>
      <c r="J632" s="634"/>
      <c r="K632" s="635"/>
      <c r="L632" s="635"/>
      <c r="M632" s="636"/>
      <c r="N632" s="634"/>
      <c r="O632" s="634"/>
    </row>
    <row r="633">
      <c r="A633" s="92"/>
      <c r="C633" s="637"/>
      <c r="D633" s="293"/>
      <c r="E633" s="293"/>
      <c r="F633" s="293"/>
      <c r="G633" s="293"/>
      <c r="J633" s="634"/>
      <c r="K633" s="635"/>
      <c r="L633" s="635"/>
      <c r="M633" s="636"/>
      <c r="N633" s="634"/>
      <c r="O633" s="634"/>
    </row>
    <row r="634">
      <c r="A634" s="92"/>
      <c r="C634" s="637"/>
      <c r="D634" s="293"/>
      <c r="E634" s="293"/>
      <c r="F634" s="293"/>
      <c r="G634" s="293"/>
      <c r="J634" s="634"/>
      <c r="K634" s="635"/>
      <c r="L634" s="635"/>
      <c r="M634" s="636"/>
      <c r="N634" s="634"/>
      <c r="O634" s="634"/>
    </row>
    <row r="635">
      <c r="A635" s="92"/>
      <c r="C635" s="637"/>
      <c r="D635" s="293"/>
      <c r="E635" s="293"/>
      <c r="F635" s="293"/>
      <c r="G635" s="293"/>
      <c r="J635" s="634"/>
      <c r="K635" s="635"/>
      <c r="L635" s="635"/>
      <c r="M635" s="636"/>
      <c r="N635" s="634"/>
      <c r="O635" s="634"/>
    </row>
    <row r="636">
      <c r="A636" s="92"/>
      <c r="C636" s="637"/>
      <c r="D636" s="293"/>
      <c r="E636" s="293"/>
      <c r="F636" s="293"/>
      <c r="G636" s="293"/>
      <c r="J636" s="634"/>
      <c r="K636" s="635"/>
      <c r="L636" s="635"/>
      <c r="M636" s="636"/>
      <c r="N636" s="634"/>
      <c r="O636" s="634"/>
    </row>
    <row r="637">
      <c r="A637" s="92"/>
      <c r="C637" s="637"/>
      <c r="D637" s="293"/>
      <c r="E637" s="293"/>
      <c r="F637" s="293"/>
      <c r="G637" s="293"/>
      <c r="J637" s="634"/>
      <c r="K637" s="635"/>
      <c r="L637" s="635"/>
      <c r="M637" s="636"/>
      <c r="N637" s="634"/>
      <c r="O637" s="634"/>
    </row>
    <row r="638">
      <c r="A638" s="92"/>
      <c r="C638" s="637"/>
      <c r="D638" s="293"/>
      <c r="E638" s="293"/>
      <c r="F638" s="293"/>
      <c r="G638" s="293"/>
      <c r="J638" s="634"/>
      <c r="K638" s="635"/>
      <c r="L638" s="635"/>
      <c r="M638" s="636"/>
      <c r="N638" s="634"/>
      <c r="O638" s="634"/>
    </row>
    <row r="639">
      <c r="A639" s="92"/>
      <c r="C639" s="637"/>
      <c r="D639" s="293"/>
      <c r="E639" s="293"/>
      <c r="F639" s="293"/>
      <c r="G639" s="293"/>
      <c r="J639" s="634"/>
      <c r="K639" s="635"/>
      <c r="L639" s="635"/>
      <c r="M639" s="636"/>
      <c r="N639" s="634"/>
      <c r="O639" s="634"/>
    </row>
    <row r="640">
      <c r="A640" s="92"/>
      <c r="C640" s="637"/>
      <c r="D640" s="293"/>
      <c r="E640" s="293"/>
      <c r="F640" s="293"/>
      <c r="G640" s="293"/>
      <c r="J640" s="634"/>
      <c r="K640" s="635"/>
      <c r="L640" s="635"/>
      <c r="M640" s="636"/>
      <c r="N640" s="634"/>
      <c r="O640" s="634"/>
    </row>
    <row r="641">
      <c r="A641" s="92"/>
      <c r="C641" s="637"/>
      <c r="D641" s="293"/>
      <c r="E641" s="293"/>
      <c r="F641" s="293"/>
      <c r="G641" s="293"/>
      <c r="J641" s="634"/>
      <c r="K641" s="635"/>
      <c r="L641" s="635"/>
      <c r="M641" s="636"/>
      <c r="N641" s="634"/>
      <c r="O641" s="634"/>
    </row>
    <row r="642">
      <c r="A642" s="92"/>
      <c r="C642" s="637"/>
      <c r="D642" s="293"/>
      <c r="E642" s="293"/>
      <c r="F642" s="293"/>
      <c r="G642" s="293"/>
      <c r="J642" s="634"/>
      <c r="K642" s="635"/>
      <c r="L642" s="635"/>
      <c r="M642" s="636"/>
      <c r="N642" s="634"/>
      <c r="O642" s="634"/>
    </row>
    <row r="643">
      <c r="A643" s="92"/>
      <c r="C643" s="637"/>
      <c r="D643" s="293"/>
      <c r="E643" s="293"/>
      <c r="F643" s="293"/>
      <c r="G643" s="293"/>
      <c r="J643" s="634"/>
      <c r="K643" s="635"/>
      <c r="L643" s="635"/>
      <c r="M643" s="636"/>
      <c r="N643" s="634"/>
      <c r="O643" s="634"/>
    </row>
    <row r="644">
      <c r="A644" s="92"/>
      <c r="C644" s="637"/>
      <c r="D644" s="293"/>
      <c r="E644" s="293"/>
      <c r="F644" s="293"/>
      <c r="G644" s="293"/>
      <c r="J644" s="634"/>
      <c r="K644" s="635"/>
      <c r="L644" s="635"/>
      <c r="M644" s="636"/>
      <c r="N644" s="634"/>
      <c r="O644" s="634"/>
    </row>
    <row r="645">
      <c r="A645" s="92"/>
      <c r="C645" s="637"/>
      <c r="D645" s="293"/>
      <c r="E645" s="293"/>
      <c r="F645" s="293"/>
      <c r="G645" s="293"/>
      <c r="J645" s="634"/>
      <c r="K645" s="635"/>
      <c r="L645" s="635"/>
      <c r="M645" s="636"/>
      <c r="N645" s="634"/>
      <c r="O645" s="634"/>
    </row>
    <row r="646">
      <c r="A646" s="92"/>
      <c r="C646" s="637"/>
      <c r="D646" s="293"/>
      <c r="E646" s="293"/>
      <c r="F646" s="293"/>
      <c r="G646" s="293"/>
      <c r="J646" s="634"/>
      <c r="K646" s="635"/>
      <c r="L646" s="635"/>
      <c r="M646" s="636"/>
      <c r="N646" s="634"/>
      <c r="O646" s="634"/>
    </row>
    <row r="647">
      <c r="A647" s="92"/>
      <c r="C647" s="637"/>
      <c r="D647" s="293"/>
      <c r="E647" s="293"/>
      <c r="F647" s="293"/>
      <c r="G647" s="293"/>
      <c r="J647" s="634"/>
      <c r="K647" s="635"/>
      <c r="L647" s="635"/>
      <c r="M647" s="636"/>
      <c r="N647" s="634"/>
      <c r="O647" s="634"/>
    </row>
    <row r="648">
      <c r="A648" s="92"/>
      <c r="C648" s="637"/>
      <c r="D648" s="293"/>
      <c r="E648" s="293"/>
      <c r="F648" s="293"/>
      <c r="G648" s="293"/>
      <c r="J648" s="634"/>
      <c r="K648" s="635"/>
      <c r="L648" s="635"/>
      <c r="M648" s="636"/>
      <c r="N648" s="634"/>
      <c r="O648" s="634"/>
    </row>
    <row r="649">
      <c r="A649" s="92"/>
      <c r="C649" s="637"/>
      <c r="D649" s="293"/>
      <c r="E649" s="293"/>
      <c r="F649" s="293"/>
      <c r="G649" s="293"/>
      <c r="J649" s="634"/>
      <c r="K649" s="635"/>
      <c r="L649" s="635"/>
      <c r="M649" s="636"/>
      <c r="N649" s="634"/>
      <c r="O649" s="634"/>
    </row>
    <row r="650">
      <c r="A650" s="92"/>
      <c r="C650" s="637"/>
      <c r="D650" s="293"/>
      <c r="E650" s="293"/>
      <c r="F650" s="293"/>
      <c r="G650" s="293"/>
      <c r="J650" s="634"/>
      <c r="K650" s="635"/>
      <c r="L650" s="635"/>
      <c r="M650" s="636"/>
      <c r="N650" s="634"/>
      <c r="O650" s="634"/>
    </row>
    <row r="651">
      <c r="A651" s="92"/>
      <c r="C651" s="637"/>
      <c r="D651" s="293"/>
      <c r="E651" s="293"/>
      <c r="F651" s="293"/>
      <c r="G651" s="293"/>
      <c r="J651" s="634"/>
      <c r="K651" s="635"/>
      <c r="L651" s="635"/>
      <c r="M651" s="636"/>
      <c r="N651" s="634"/>
      <c r="O651" s="634"/>
    </row>
    <row r="652">
      <c r="A652" s="92"/>
      <c r="C652" s="637"/>
      <c r="D652" s="293"/>
      <c r="E652" s="293"/>
      <c r="F652" s="293"/>
      <c r="G652" s="293"/>
      <c r="J652" s="634"/>
      <c r="K652" s="635"/>
      <c r="L652" s="635"/>
      <c r="M652" s="636"/>
      <c r="N652" s="634"/>
      <c r="O652" s="634"/>
    </row>
    <row r="653">
      <c r="A653" s="92"/>
      <c r="C653" s="637"/>
      <c r="D653" s="293"/>
      <c r="E653" s="293"/>
      <c r="F653" s="293"/>
      <c r="G653" s="293"/>
      <c r="J653" s="634"/>
      <c r="K653" s="635"/>
      <c r="L653" s="635"/>
      <c r="M653" s="636"/>
      <c r="N653" s="634"/>
      <c r="O653" s="634"/>
    </row>
    <row r="654">
      <c r="A654" s="92"/>
      <c r="C654" s="637"/>
      <c r="D654" s="293"/>
      <c r="E654" s="293"/>
      <c r="F654" s="293"/>
      <c r="G654" s="293"/>
      <c r="J654" s="634"/>
      <c r="K654" s="635"/>
      <c r="L654" s="635"/>
      <c r="M654" s="636"/>
      <c r="N654" s="634"/>
      <c r="O654" s="634"/>
    </row>
    <row r="655">
      <c r="A655" s="92"/>
      <c r="C655" s="637"/>
      <c r="D655" s="293"/>
      <c r="E655" s="293"/>
      <c r="F655" s="293"/>
      <c r="G655" s="293"/>
      <c r="J655" s="634"/>
      <c r="K655" s="635"/>
      <c r="L655" s="635"/>
      <c r="M655" s="636"/>
      <c r="N655" s="634"/>
      <c r="O655" s="634"/>
    </row>
    <row r="656">
      <c r="A656" s="92"/>
      <c r="C656" s="637"/>
      <c r="D656" s="293"/>
      <c r="E656" s="293"/>
      <c r="F656" s="293"/>
      <c r="G656" s="293"/>
      <c r="J656" s="634"/>
      <c r="K656" s="635"/>
      <c r="L656" s="635"/>
      <c r="M656" s="636"/>
      <c r="N656" s="634"/>
      <c r="O656" s="634"/>
    </row>
    <row r="657">
      <c r="A657" s="92"/>
      <c r="C657" s="637"/>
      <c r="D657" s="293"/>
      <c r="E657" s="293"/>
      <c r="F657" s="293"/>
      <c r="G657" s="293"/>
      <c r="J657" s="634"/>
      <c r="K657" s="635"/>
      <c r="L657" s="635"/>
      <c r="M657" s="636"/>
      <c r="N657" s="634"/>
      <c r="O657" s="634"/>
    </row>
    <row r="658">
      <c r="A658" s="92"/>
      <c r="C658" s="637"/>
      <c r="D658" s="293"/>
      <c r="E658" s="293"/>
      <c r="F658" s="293"/>
      <c r="G658" s="293"/>
      <c r="J658" s="634"/>
      <c r="K658" s="635"/>
      <c r="L658" s="635"/>
      <c r="M658" s="636"/>
      <c r="N658" s="634"/>
      <c r="O658" s="634"/>
    </row>
    <row r="659">
      <c r="A659" s="92"/>
      <c r="C659" s="637"/>
      <c r="D659" s="293"/>
      <c r="E659" s="293"/>
      <c r="F659" s="293"/>
      <c r="G659" s="293"/>
      <c r="J659" s="634"/>
      <c r="K659" s="635"/>
      <c r="L659" s="635"/>
      <c r="M659" s="636"/>
      <c r="N659" s="634"/>
      <c r="O659" s="634"/>
    </row>
    <row r="660">
      <c r="A660" s="92"/>
      <c r="C660" s="637"/>
      <c r="D660" s="293"/>
      <c r="E660" s="293"/>
      <c r="F660" s="293"/>
      <c r="G660" s="293"/>
      <c r="J660" s="634"/>
      <c r="K660" s="635"/>
      <c r="L660" s="635"/>
      <c r="M660" s="636"/>
      <c r="N660" s="634"/>
      <c r="O660" s="634"/>
    </row>
    <row r="661">
      <c r="A661" s="92"/>
      <c r="C661" s="637"/>
      <c r="D661" s="293"/>
      <c r="E661" s="293"/>
      <c r="F661" s="293"/>
      <c r="G661" s="293"/>
      <c r="J661" s="634"/>
      <c r="K661" s="635"/>
      <c r="L661" s="635"/>
      <c r="M661" s="636"/>
      <c r="N661" s="634"/>
      <c r="O661" s="634"/>
    </row>
    <row r="662">
      <c r="A662" s="92"/>
      <c r="C662" s="637"/>
      <c r="D662" s="293"/>
      <c r="E662" s="293"/>
      <c r="F662" s="293"/>
      <c r="G662" s="293"/>
      <c r="J662" s="634"/>
      <c r="K662" s="635"/>
      <c r="L662" s="635"/>
      <c r="M662" s="636"/>
      <c r="N662" s="634"/>
      <c r="O662" s="634"/>
    </row>
    <row r="663">
      <c r="A663" s="92"/>
      <c r="C663" s="637"/>
      <c r="D663" s="293"/>
      <c r="E663" s="293"/>
      <c r="F663" s="293"/>
      <c r="G663" s="293"/>
      <c r="J663" s="634"/>
      <c r="K663" s="635"/>
      <c r="L663" s="635"/>
      <c r="M663" s="636"/>
      <c r="N663" s="634"/>
      <c r="O663" s="634"/>
    </row>
    <row r="664">
      <c r="A664" s="92"/>
      <c r="C664" s="637"/>
      <c r="D664" s="293"/>
      <c r="E664" s="293"/>
      <c r="F664" s="293"/>
      <c r="G664" s="293"/>
      <c r="J664" s="634"/>
      <c r="K664" s="635"/>
      <c r="L664" s="635"/>
      <c r="M664" s="636"/>
      <c r="N664" s="634"/>
      <c r="O664" s="634"/>
    </row>
    <row r="665">
      <c r="A665" s="92"/>
      <c r="C665" s="637"/>
      <c r="D665" s="293"/>
      <c r="E665" s="293"/>
      <c r="F665" s="293"/>
      <c r="G665" s="293"/>
      <c r="J665" s="634"/>
      <c r="K665" s="635"/>
      <c r="L665" s="635"/>
      <c r="M665" s="636"/>
      <c r="N665" s="634"/>
      <c r="O665" s="634"/>
    </row>
    <row r="666">
      <c r="A666" s="92"/>
      <c r="C666" s="637"/>
      <c r="D666" s="293"/>
      <c r="E666" s="293"/>
      <c r="F666" s="293"/>
      <c r="G666" s="293"/>
      <c r="J666" s="634"/>
      <c r="K666" s="635"/>
      <c r="L666" s="635"/>
      <c r="M666" s="636"/>
      <c r="N666" s="634"/>
      <c r="O666" s="634"/>
    </row>
    <row r="667">
      <c r="A667" s="92"/>
      <c r="C667" s="637"/>
      <c r="D667" s="293"/>
      <c r="E667" s="293"/>
      <c r="F667" s="293"/>
      <c r="G667" s="293"/>
      <c r="J667" s="634"/>
      <c r="K667" s="635"/>
      <c r="L667" s="635"/>
      <c r="M667" s="636"/>
      <c r="N667" s="634"/>
      <c r="O667" s="634"/>
    </row>
    <row r="668">
      <c r="A668" s="92"/>
      <c r="C668" s="637"/>
      <c r="D668" s="293"/>
      <c r="E668" s="293"/>
      <c r="F668" s="293"/>
      <c r="G668" s="293"/>
      <c r="J668" s="634"/>
      <c r="K668" s="635"/>
      <c r="L668" s="635"/>
      <c r="M668" s="636"/>
      <c r="N668" s="634"/>
      <c r="O668" s="634"/>
    </row>
    <row r="669">
      <c r="A669" s="92"/>
      <c r="C669" s="637"/>
      <c r="D669" s="293"/>
      <c r="E669" s="293"/>
      <c r="F669" s="293"/>
      <c r="G669" s="293"/>
      <c r="J669" s="634"/>
      <c r="K669" s="635"/>
      <c r="L669" s="635"/>
      <c r="M669" s="636"/>
      <c r="N669" s="634"/>
      <c r="O669" s="634"/>
    </row>
    <row r="670">
      <c r="A670" s="92"/>
      <c r="C670" s="637"/>
      <c r="D670" s="293"/>
      <c r="E670" s="293"/>
      <c r="F670" s="293"/>
      <c r="G670" s="293"/>
      <c r="J670" s="634"/>
      <c r="K670" s="635"/>
      <c r="L670" s="635"/>
      <c r="M670" s="636"/>
      <c r="N670" s="634"/>
      <c r="O670" s="634"/>
    </row>
    <row r="671">
      <c r="A671" s="92"/>
      <c r="C671" s="637"/>
      <c r="D671" s="293"/>
      <c r="E671" s="293"/>
      <c r="F671" s="293"/>
      <c r="G671" s="293"/>
      <c r="J671" s="634"/>
      <c r="K671" s="635"/>
      <c r="L671" s="635"/>
      <c r="M671" s="636"/>
      <c r="N671" s="634"/>
      <c r="O671" s="634"/>
    </row>
    <row r="672">
      <c r="A672" s="92"/>
      <c r="C672" s="637"/>
      <c r="D672" s="293"/>
      <c r="E672" s="293"/>
      <c r="F672" s="293"/>
      <c r="G672" s="293"/>
      <c r="J672" s="634"/>
      <c r="K672" s="635"/>
      <c r="L672" s="635"/>
      <c r="M672" s="636"/>
      <c r="N672" s="634"/>
      <c r="O672" s="634"/>
    </row>
    <row r="673">
      <c r="A673" s="92"/>
      <c r="C673" s="637"/>
      <c r="D673" s="293"/>
      <c r="E673" s="293"/>
      <c r="F673" s="293"/>
      <c r="G673" s="293"/>
      <c r="J673" s="634"/>
      <c r="K673" s="635"/>
      <c r="L673" s="635"/>
      <c r="M673" s="636"/>
      <c r="N673" s="634"/>
      <c r="O673" s="634"/>
    </row>
    <row r="674">
      <c r="A674" s="92"/>
      <c r="C674" s="637"/>
      <c r="D674" s="293"/>
      <c r="E674" s="293"/>
      <c r="F674" s="293"/>
      <c r="G674" s="293"/>
      <c r="J674" s="634"/>
      <c r="K674" s="635"/>
      <c r="L674" s="635"/>
      <c r="M674" s="636"/>
      <c r="N674" s="634"/>
      <c r="O674" s="634"/>
    </row>
    <row r="675">
      <c r="A675" s="92"/>
      <c r="C675" s="637"/>
      <c r="D675" s="293"/>
      <c r="E675" s="293"/>
      <c r="F675" s="293"/>
      <c r="G675" s="293"/>
      <c r="J675" s="634"/>
      <c r="K675" s="635"/>
      <c r="L675" s="635"/>
      <c r="M675" s="636"/>
      <c r="N675" s="634"/>
      <c r="O675" s="634"/>
    </row>
    <row r="676">
      <c r="A676" s="92"/>
      <c r="C676" s="637"/>
      <c r="D676" s="293"/>
      <c r="E676" s="293"/>
      <c r="F676" s="293"/>
      <c r="G676" s="293"/>
      <c r="J676" s="634"/>
      <c r="K676" s="635"/>
      <c r="L676" s="635"/>
      <c r="M676" s="636"/>
      <c r="N676" s="634"/>
      <c r="O676" s="634"/>
    </row>
    <row r="677">
      <c r="A677" s="92"/>
      <c r="C677" s="637"/>
      <c r="D677" s="293"/>
      <c r="E677" s="293"/>
      <c r="F677" s="293"/>
      <c r="G677" s="293"/>
      <c r="J677" s="634"/>
      <c r="K677" s="635"/>
      <c r="L677" s="635"/>
      <c r="M677" s="636"/>
      <c r="N677" s="634"/>
      <c r="O677" s="634"/>
    </row>
    <row r="678">
      <c r="A678" s="92"/>
      <c r="C678" s="637"/>
      <c r="D678" s="293"/>
      <c r="E678" s="293"/>
      <c r="F678" s="293"/>
      <c r="G678" s="293"/>
      <c r="J678" s="634"/>
      <c r="K678" s="635"/>
      <c r="L678" s="635"/>
      <c r="M678" s="636"/>
      <c r="N678" s="634"/>
      <c r="O678" s="634"/>
    </row>
    <row r="679">
      <c r="A679" s="92"/>
      <c r="C679" s="637"/>
      <c r="D679" s="293"/>
      <c r="E679" s="293"/>
      <c r="F679" s="293"/>
      <c r="G679" s="293"/>
      <c r="J679" s="634"/>
      <c r="K679" s="635"/>
      <c r="L679" s="635"/>
      <c r="M679" s="636"/>
      <c r="N679" s="634"/>
      <c r="O679" s="634"/>
    </row>
    <row r="680">
      <c r="A680" s="92"/>
      <c r="C680" s="637"/>
      <c r="D680" s="293"/>
      <c r="E680" s="293"/>
      <c r="F680" s="293"/>
      <c r="G680" s="293"/>
      <c r="J680" s="634"/>
      <c r="K680" s="635"/>
      <c r="L680" s="635"/>
      <c r="M680" s="636"/>
      <c r="N680" s="634"/>
      <c r="O680" s="634"/>
    </row>
    <row r="681">
      <c r="A681" s="92"/>
      <c r="C681" s="637"/>
      <c r="D681" s="293"/>
      <c r="E681" s="293"/>
      <c r="F681" s="293"/>
      <c r="G681" s="293"/>
      <c r="J681" s="634"/>
      <c r="K681" s="635"/>
      <c r="L681" s="635"/>
      <c r="M681" s="636"/>
      <c r="N681" s="634"/>
      <c r="O681" s="634"/>
    </row>
    <row r="682">
      <c r="A682" s="92"/>
      <c r="C682" s="637"/>
      <c r="D682" s="293"/>
      <c r="E682" s="293"/>
      <c r="F682" s="293"/>
      <c r="G682" s="293"/>
      <c r="J682" s="634"/>
      <c r="K682" s="635"/>
      <c r="L682" s="635"/>
      <c r="M682" s="636"/>
      <c r="N682" s="634"/>
      <c r="O682" s="634"/>
    </row>
    <row r="683">
      <c r="A683" s="92"/>
      <c r="C683" s="637"/>
      <c r="D683" s="293"/>
      <c r="E683" s="293"/>
      <c r="F683" s="293"/>
      <c r="G683" s="293"/>
      <c r="J683" s="634"/>
      <c r="K683" s="635"/>
      <c r="L683" s="635"/>
      <c r="M683" s="636"/>
      <c r="N683" s="634"/>
      <c r="O683" s="634"/>
    </row>
    <row r="684">
      <c r="A684" s="92"/>
      <c r="C684" s="637"/>
      <c r="D684" s="293"/>
      <c r="E684" s="293"/>
      <c r="F684" s="293"/>
      <c r="G684" s="293"/>
      <c r="J684" s="634"/>
      <c r="K684" s="635"/>
      <c r="L684" s="635"/>
      <c r="M684" s="636"/>
      <c r="N684" s="634"/>
      <c r="O684" s="634"/>
    </row>
    <row r="685">
      <c r="A685" s="92"/>
      <c r="C685" s="637"/>
      <c r="D685" s="293"/>
      <c r="E685" s="293"/>
      <c r="F685" s="293"/>
      <c r="G685" s="293"/>
      <c r="J685" s="634"/>
      <c r="K685" s="635"/>
      <c r="L685" s="635"/>
      <c r="M685" s="636"/>
      <c r="N685" s="634"/>
      <c r="O685" s="634"/>
    </row>
    <row r="686">
      <c r="A686" s="92"/>
      <c r="C686" s="637"/>
      <c r="D686" s="293"/>
      <c r="E686" s="293"/>
      <c r="F686" s="293"/>
      <c r="G686" s="293"/>
      <c r="J686" s="634"/>
      <c r="K686" s="635"/>
      <c r="L686" s="635"/>
      <c r="M686" s="636"/>
      <c r="N686" s="634"/>
      <c r="O686" s="634"/>
    </row>
    <row r="687">
      <c r="A687" s="92"/>
      <c r="C687" s="637"/>
      <c r="D687" s="293"/>
      <c r="E687" s="293"/>
      <c r="F687" s="293"/>
      <c r="G687" s="293"/>
      <c r="J687" s="634"/>
      <c r="K687" s="635"/>
      <c r="L687" s="635"/>
      <c r="M687" s="636"/>
      <c r="N687" s="634"/>
      <c r="O687" s="634"/>
    </row>
    <row r="688">
      <c r="A688" s="92"/>
      <c r="C688" s="637"/>
      <c r="D688" s="293"/>
      <c r="E688" s="293"/>
      <c r="F688" s="293"/>
      <c r="G688" s="293"/>
      <c r="J688" s="634"/>
      <c r="K688" s="635"/>
      <c r="L688" s="635"/>
      <c r="M688" s="636"/>
      <c r="N688" s="634"/>
      <c r="O688" s="634"/>
    </row>
    <row r="689">
      <c r="A689" s="92"/>
      <c r="C689" s="637"/>
      <c r="D689" s="293"/>
      <c r="E689" s="293"/>
      <c r="F689" s="293"/>
      <c r="G689" s="293"/>
      <c r="J689" s="634"/>
      <c r="K689" s="635"/>
      <c r="L689" s="635"/>
      <c r="M689" s="636"/>
      <c r="N689" s="634"/>
      <c r="O689" s="634"/>
    </row>
    <row r="690">
      <c r="A690" s="92"/>
      <c r="C690" s="637"/>
      <c r="D690" s="293"/>
      <c r="E690" s="293"/>
      <c r="F690" s="293"/>
      <c r="G690" s="293"/>
      <c r="J690" s="634"/>
      <c r="K690" s="635"/>
      <c r="L690" s="635"/>
      <c r="M690" s="636"/>
      <c r="N690" s="634"/>
      <c r="O690" s="634"/>
    </row>
    <row r="691">
      <c r="A691" s="92"/>
      <c r="C691" s="637"/>
      <c r="D691" s="293"/>
      <c r="E691" s="293"/>
      <c r="F691" s="293"/>
      <c r="G691" s="293"/>
      <c r="J691" s="634"/>
      <c r="K691" s="635"/>
      <c r="L691" s="635"/>
      <c r="M691" s="636"/>
      <c r="N691" s="634"/>
      <c r="O691" s="634"/>
    </row>
    <row r="692">
      <c r="A692" s="92"/>
      <c r="C692" s="637"/>
      <c r="D692" s="293"/>
      <c r="E692" s="293"/>
      <c r="F692" s="293"/>
      <c r="G692" s="293"/>
      <c r="J692" s="634"/>
      <c r="K692" s="635"/>
      <c r="L692" s="635"/>
      <c r="M692" s="636"/>
      <c r="N692" s="634"/>
      <c r="O692" s="634"/>
    </row>
    <row r="693">
      <c r="A693" s="92"/>
      <c r="C693" s="637"/>
      <c r="D693" s="293"/>
      <c r="E693" s="293"/>
      <c r="F693" s="293"/>
      <c r="G693" s="293"/>
      <c r="J693" s="634"/>
      <c r="K693" s="635"/>
      <c r="L693" s="635"/>
      <c r="M693" s="636"/>
      <c r="N693" s="634"/>
      <c r="O693" s="634"/>
    </row>
    <row r="694">
      <c r="A694" s="92"/>
      <c r="C694" s="637"/>
      <c r="D694" s="293"/>
      <c r="E694" s="293"/>
      <c r="F694" s="293"/>
      <c r="G694" s="293"/>
      <c r="J694" s="634"/>
      <c r="K694" s="635"/>
      <c r="L694" s="635"/>
      <c r="M694" s="636"/>
      <c r="N694" s="634"/>
      <c r="O694" s="634"/>
    </row>
    <row r="695">
      <c r="A695" s="92"/>
      <c r="C695" s="637"/>
      <c r="D695" s="293"/>
      <c r="E695" s="293"/>
      <c r="F695" s="293"/>
      <c r="G695" s="293"/>
      <c r="J695" s="634"/>
      <c r="K695" s="635"/>
      <c r="L695" s="635"/>
      <c r="M695" s="636"/>
      <c r="N695" s="634"/>
      <c r="O695" s="634"/>
    </row>
    <row r="696">
      <c r="A696" s="92"/>
      <c r="C696" s="637"/>
      <c r="D696" s="293"/>
      <c r="E696" s="293"/>
      <c r="F696" s="293"/>
      <c r="G696" s="293"/>
      <c r="J696" s="634"/>
      <c r="K696" s="635"/>
      <c r="L696" s="635"/>
      <c r="M696" s="636"/>
      <c r="N696" s="634"/>
      <c r="O696" s="634"/>
    </row>
    <row r="697">
      <c r="A697" s="92"/>
      <c r="C697" s="637"/>
      <c r="D697" s="293"/>
      <c r="E697" s="293"/>
      <c r="F697" s="293"/>
      <c r="G697" s="293"/>
      <c r="J697" s="634"/>
      <c r="K697" s="635"/>
      <c r="L697" s="635"/>
      <c r="M697" s="636"/>
      <c r="N697" s="634"/>
      <c r="O697" s="634"/>
    </row>
    <row r="698">
      <c r="A698" s="92"/>
      <c r="C698" s="637"/>
      <c r="D698" s="293"/>
      <c r="E698" s="293"/>
      <c r="F698" s="293"/>
      <c r="G698" s="293"/>
      <c r="J698" s="634"/>
      <c r="K698" s="635"/>
      <c r="L698" s="635"/>
      <c r="M698" s="636"/>
      <c r="N698" s="634"/>
      <c r="O698" s="634"/>
    </row>
    <row r="699">
      <c r="A699" s="92"/>
      <c r="C699" s="637"/>
      <c r="D699" s="293"/>
      <c r="E699" s="293"/>
      <c r="F699" s="293"/>
      <c r="G699" s="293"/>
      <c r="J699" s="634"/>
      <c r="K699" s="635"/>
      <c r="L699" s="635"/>
      <c r="M699" s="636"/>
      <c r="N699" s="634"/>
      <c r="O699" s="634"/>
    </row>
    <row r="700">
      <c r="A700" s="92"/>
      <c r="C700" s="637"/>
      <c r="D700" s="293"/>
      <c r="E700" s="293"/>
      <c r="F700" s="293"/>
      <c r="G700" s="293"/>
      <c r="J700" s="634"/>
      <c r="K700" s="635"/>
      <c r="L700" s="635"/>
      <c r="M700" s="636"/>
      <c r="N700" s="634"/>
      <c r="O700" s="634"/>
    </row>
    <row r="701">
      <c r="A701" s="92"/>
      <c r="C701" s="637"/>
      <c r="D701" s="293"/>
      <c r="E701" s="293"/>
      <c r="F701" s="293"/>
      <c r="G701" s="293"/>
      <c r="J701" s="634"/>
      <c r="K701" s="635"/>
      <c r="L701" s="635"/>
      <c r="M701" s="636"/>
      <c r="N701" s="634"/>
      <c r="O701" s="634"/>
    </row>
    <row r="702">
      <c r="A702" s="92"/>
      <c r="C702" s="637"/>
      <c r="D702" s="293"/>
      <c r="E702" s="293"/>
      <c r="F702" s="293"/>
      <c r="G702" s="293"/>
      <c r="J702" s="634"/>
      <c r="K702" s="635"/>
      <c r="L702" s="635"/>
      <c r="M702" s="636"/>
      <c r="N702" s="634"/>
      <c r="O702" s="634"/>
    </row>
    <row r="703">
      <c r="A703" s="92"/>
      <c r="C703" s="637"/>
      <c r="D703" s="293"/>
      <c r="E703" s="293"/>
      <c r="F703" s="293"/>
      <c r="G703" s="293"/>
      <c r="J703" s="634"/>
      <c r="K703" s="635"/>
      <c r="L703" s="635"/>
      <c r="M703" s="636"/>
      <c r="N703" s="634"/>
      <c r="O703" s="634"/>
    </row>
    <row r="704">
      <c r="A704" s="92"/>
      <c r="C704" s="637"/>
      <c r="D704" s="293"/>
      <c r="E704" s="293"/>
      <c r="F704" s="293"/>
      <c r="G704" s="293"/>
      <c r="J704" s="634"/>
      <c r="K704" s="635"/>
      <c r="L704" s="635"/>
      <c r="M704" s="636"/>
      <c r="N704" s="634"/>
      <c r="O704" s="634"/>
    </row>
    <row r="705">
      <c r="A705" s="92"/>
      <c r="C705" s="637"/>
      <c r="D705" s="293"/>
      <c r="E705" s="293"/>
      <c r="F705" s="293"/>
      <c r="G705" s="293"/>
      <c r="J705" s="634"/>
      <c r="K705" s="635"/>
      <c r="L705" s="635"/>
      <c r="M705" s="636"/>
      <c r="N705" s="634"/>
      <c r="O705" s="634"/>
    </row>
    <row r="706">
      <c r="A706" s="92"/>
      <c r="C706" s="637"/>
      <c r="D706" s="293"/>
      <c r="E706" s="293"/>
      <c r="F706" s="293"/>
      <c r="G706" s="293"/>
      <c r="J706" s="634"/>
      <c r="K706" s="635"/>
      <c r="L706" s="635"/>
      <c r="M706" s="636"/>
      <c r="N706" s="634"/>
      <c r="O706" s="634"/>
    </row>
    <row r="707">
      <c r="A707" s="92"/>
      <c r="C707" s="637"/>
      <c r="D707" s="293"/>
      <c r="E707" s="293"/>
      <c r="F707" s="293"/>
      <c r="G707" s="293"/>
      <c r="J707" s="634"/>
      <c r="K707" s="635"/>
      <c r="L707" s="635"/>
      <c r="M707" s="636"/>
      <c r="N707" s="634"/>
      <c r="O707" s="634"/>
    </row>
    <row r="708">
      <c r="A708" s="92"/>
      <c r="C708" s="637"/>
      <c r="D708" s="293"/>
      <c r="E708" s="293"/>
      <c r="F708" s="293"/>
      <c r="G708" s="293"/>
      <c r="J708" s="634"/>
      <c r="K708" s="635"/>
      <c r="L708" s="635"/>
      <c r="M708" s="636"/>
      <c r="N708" s="634"/>
      <c r="O708" s="634"/>
    </row>
    <row r="709">
      <c r="A709" s="92"/>
      <c r="C709" s="637"/>
      <c r="D709" s="293"/>
      <c r="E709" s="293"/>
      <c r="F709" s="293"/>
      <c r="G709" s="293"/>
      <c r="J709" s="634"/>
      <c r="K709" s="635"/>
      <c r="L709" s="635"/>
      <c r="M709" s="636"/>
      <c r="N709" s="634"/>
      <c r="O709" s="634"/>
    </row>
    <row r="710">
      <c r="A710" s="92"/>
      <c r="C710" s="637"/>
      <c r="D710" s="293"/>
      <c r="E710" s="293"/>
      <c r="F710" s="293"/>
      <c r="G710" s="293"/>
      <c r="J710" s="634"/>
      <c r="K710" s="635"/>
      <c r="L710" s="635"/>
      <c r="M710" s="636"/>
      <c r="N710" s="634"/>
      <c r="O710" s="634"/>
    </row>
    <row r="711">
      <c r="A711" s="92"/>
      <c r="C711" s="637"/>
      <c r="D711" s="293"/>
      <c r="E711" s="293"/>
      <c r="F711" s="293"/>
      <c r="G711" s="293"/>
      <c r="J711" s="634"/>
      <c r="K711" s="635"/>
      <c r="L711" s="635"/>
      <c r="M711" s="636"/>
      <c r="N711" s="634"/>
      <c r="O711" s="634"/>
    </row>
    <row r="712">
      <c r="A712" s="92"/>
      <c r="C712" s="637"/>
      <c r="D712" s="293"/>
      <c r="E712" s="293"/>
      <c r="F712" s="293"/>
      <c r="G712" s="293"/>
      <c r="J712" s="634"/>
      <c r="K712" s="635"/>
      <c r="L712" s="635"/>
      <c r="M712" s="636"/>
      <c r="N712" s="634"/>
      <c r="O712" s="634"/>
    </row>
    <row r="713">
      <c r="A713" s="92"/>
      <c r="C713" s="637"/>
      <c r="D713" s="293"/>
      <c r="E713" s="293"/>
      <c r="F713" s="293"/>
      <c r="G713" s="293"/>
      <c r="J713" s="634"/>
      <c r="K713" s="635"/>
      <c r="L713" s="635"/>
      <c r="M713" s="636"/>
      <c r="N713" s="634"/>
      <c r="O713" s="634"/>
    </row>
    <row r="714">
      <c r="A714" s="92"/>
      <c r="C714" s="637"/>
      <c r="D714" s="293"/>
      <c r="E714" s="293"/>
      <c r="F714" s="293"/>
      <c r="G714" s="293"/>
      <c r="J714" s="634"/>
      <c r="K714" s="635"/>
      <c r="L714" s="635"/>
      <c r="M714" s="636"/>
      <c r="N714" s="634"/>
      <c r="O714" s="634"/>
    </row>
    <row r="715">
      <c r="A715" s="92"/>
      <c r="C715" s="637"/>
      <c r="D715" s="293"/>
      <c r="E715" s="293"/>
      <c r="F715" s="293"/>
      <c r="G715" s="293"/>
      <c r="J715" s="634"/>
      <c r="K715" s="635"/>
      <c r="L715" s="635"/>
      <c r="M715" s="636"/>
      <c r="N715" s="634"/>
      <c r="O715" s="634"/>
    </row>
    <row r="716">
      <c r="A716" s="92"/>
      <c r="C716" s="637"/>
      <c r="D716" s="293"/>
      <c r="E716" s="293"/>
      <c r="F716" s="293"/>
      <c r="G716" s="293"/>
      <c r="J716" s="634"/>
      <c r="K716" s="635"/>
      <c r="L716" s="635"/>
      <c r="M716" s="636"/>
      <c r="N716" s="634"/>
      <c r="O716" s="634"/>
    </row>
    <row r="717">
      <c r="A717" s="92"/>
      <c r="C717" s="637"/>
      <c r="D717" s="293"/>
      <c r="E717" s="293"/>
      <c r="F717" s="293"/>
      <c r="G717" s="293"/>
      <c r="J717" s="634"/>
      <c r="K717" s="635"/>
      <c r="L717" s="635"/>
      <c r="M717" s="636"/>
      <c r="N717" s="634"/>
      <c r="O717" s="634"/>
    </row>
    <row r="718">
      <c r="A718" s="92"/>
      <c r="C718" s="637"/>
      <c r="D718" s="293"/>
      <c r="E718" s="293"/>
      <c r="F718" s="293"/>
      <c r="G718" s="293"/>
      <c r="J718" s="634"/>
      <c r="K718" s="635"/>
      <c r="L718" s="635"/>
      <c r="M718" s="636"/>
      <c r="N718" s="634"/>
      <c r="O718" s="634"/>
    </row>
    <row r="719">
      <c r="A719" s="92"/>
      <c r="C719" s="637"/>
      <c r="D719" s="293"/>
      <c r="E719" s="293"/>
      <c r="F719" s="293"/>
      <c r="G719" s="293"/>
      <c r="J719" s="634"/>
      <c r="K719" s="635"/>
      <c r="L719" s="635"/>
      <c r="M719" s="636"/>
      <c r="N719" s="634"/>
      <c r="O719" s="634"/>
    </row>
    <row r="720">
      <c r="A720" s="92"/>
      <c r="C720" s="637"/>
      <c r="D720" s="293"/>
      <c r="E720" s="293"/>
      <c r="F720" s="293"/>
      <c r="G720" s="293"/>
      <c r="J720" s="634"/>
      <c r="K720" s="635"/>
      <c r="L720" s="635"/>
      <c r="M720" s="636"/>
      <c r="N720" s="634"/>
      <c r="O720" s="634"/>
    </row>
    <row r="721">
      <c r="A721" s="92"/>
      <c r="C721" s="637"/>
      <c r="D721" s="293"/>
      <c r="E721" s="293"/>
      <c r="F721" s="293"/>
      <c r="G721" s="293"/>
      <c r="J721" s="634"/>
      <c r="K721" s="635"/>
      <c r="L721" s="635"/>
      <c r="M721" s="636"/>
      <c r="N721" s="634"/>
      <c r="O721" s="634"/>
    </row>
    <row r="722">
      <c r="A722" s="92"/>
      <c r="C722" s="637"/>
      <c r="D722" s="293"/>
      <c r="E722" s="293"/>
      <c r="F722" s="293"/>
      <c r="G722" s="293"/>
      <c r="J722" s="634"/>
      <c r="K722" s="635"/>
      <c r="L722" s="635"/>
      <c r="M722" s="636"/>
      <c r="N722" s="634"/>
      <c r="O722" s="634"/>
    </row>
    <row r="723">
      <c r="A723" s="92"/>
      <c r="C723" s="637"/>
      <c r="D723" s="293"/>
      <c r="E723" s="293"/>
      <c r="F723" s="293"/>
      <c r="G723" s="293"/>
      <c r="J723" s="634"/>
      <c r="K723" s="635"/>
      <c r="L723" s="635"/>
      <c r="M723" s="636"/>
      <c r="N723" s="634"/>
      <c r="O723" s="634"/>
    </row>
    <row r="724">
      <c r="A724" s="92"/>
      <c r="C724" s="637"/>
      <c r="D724" s="293"/>
      <c r="E724" s="293"/>
      <c r="F724" s="293"/>
      <c r="G724" s="293"/>
      <c r="J724" s="634"/>
      <c r="K724" s="635"/>
      <c r="L724" s="635"/>
      <c r="M724" s="636"/>
      <c r="N724" s="634"/>
      <c r="O724" s="634"/>
    </row>
    <row r="725">
      <c r="A725" s="92"/>
      <c r="C725" s="637"/>
      <c r="D725" s="293"/>
      <c r="E725" s="293"/>
      <c r="F725" s="293"/>
      <c r="G725" s="293"/>
      <c r="J725" s="634"/>
      <c r="K725" s="635"/>
      <c r="L725" s="635"/>
      <c r="M725" s="636"/>
      <c r="N725" s="634"/>
      <c r="O725" s="634"/>
    </row>
    <row r="726">
      <c r="A726" s="92"/>
      <c r="C726" s="637"/>
      <c r="D726" s="293"/>
      <c r="E726" s="293"/>
      <c r="F726" s="293"/>
      <c r="G726" s="293"/>
      <c r="J726" s="634"/>
      <c r="K726" s="635"/>
      <c r="L726" s="635"/>
      <c r="M726" s="636"/>
      <c r="N726" s="634"/>
      <c r="O726" s="634"/>
    </row>
    <row r="727">
      <c r="A727" s="92"/>
      <c r="C727" s="637"/>
      <c r="D727" s="293"/>
      <c r="E727" s="293"/>
      <c r="F727" s="293"/>
      <c r="G727" s="293"/>
      <c r="J727" s="634"/>
      <c r="K727" s="635"/>
      <c r="L727" s="635"/>
      <c r="M727" s="636"/>
      <c r="N727" s="634"/>
      <c r="O727" s="634"/>
    </row>
    <row r="728">
      <c r="A728" s="92"/>
      <c r="C728" s="637"/>
      <c r="D728" s="293"/>
      <c r="E728" s="293"/>
      <c r="F728" s="293"/>
      <c r="G728" s="293"/>
      <c r="J728" s="634"/>
      <c r="K728" s="635"/>
      <c r="L728" s="635"/>
      <c r="M728" s="636"/>
      <c r="N728" s="634"/>
      <c r="O728" s="634"/>
    </row>
    <row r="729">
      <c r="A729" s="92"/>
      <c r="C729" s="637"/>
      <c r="D729" s="293"/>
      <c r="E729" s="293"/>
      <c r="F729" s="293"/>
      <c r="G729" s="293"/>
      <c r="J729" s="634"/>
      <c r="K729" s="635"/>
      <c r="L729" s="635"/>
      <c r="M729" s="636"/>
      <c r="N729" s="634"/>
      <c r="O729" s="634"/>
    </row>
    <row r="730">
      <c r="A730" s="92"/>
      <c r="C730" s="637"/>
      <c r="D730" s="293"/>
      <c r="E730" s="293"/>
      <c r="F730" s="293"/>
      <c r="G730" s="293"/>
      <c r="J730" s="634"/>
      <c r="K730" s="635"/>
      <c r="L730" s="635"/>
      <c r="M730" s="636"/>
      <c r="N730" s="634"/>
      <c r="O730" s="634"/>
    </row>
    <row r="731">
      <c r="A731" s="92"/>
      <c r="C731" s="637"/>
      <c r="D731" s="293"/>
      <c r="E731" s="293"/>
      <c r="F731" s="293"/>
      <c r="G731" s="293"/>
      <c r="J731" s="634"/>
      <c r="K731" s="635"/>
      <c r="L731" s="635"/>
      <c r="M731" s="636"/>
      <c r="N731" s="634"/>
      <c r="O731" s="634"/>
    </row>
    <row r="732">
      <c r="A732" s="92"/>
      <c r="C732" s="637"/>
      <c r="D732" s="293"/>
      <c r="E732" s="293"/>
      <c r="F732" s="293"/>
      <c r="G732" s="293"/>
      <c r="J732" s="634"/>
      <c r="K732" s="635"/>
      <c r="L732" s="635"/>
      <c r="M732" s="636"/>
      <c r="N732" s="634"/>
      <c r="O732" s="634"/>
    </row>
    <row r="733">
      <c r="A733" s="92"/>
      <c r="C733" s="637"/>
      <c r="D733" s="293"/>
      <c r="E733" s="293"/>
      <c r="F733" s="293"/>
      <c r="G733" s="293"/>
      <c r="J733" s="634"/>
      <c r="K733" s="635"/>
      <c r="L733" s="635"/>
      <c r="M733" s="636"/>
      <c r="N733" s="634"/>
      <c r="O733" s="634"/>
    </row>
    <row r="734">
      <c r="A734" s="92"/>
      <c r="C734" s="637"/>
      <c r="D734" s="293"/>
      <c r="E734" s="293"/>
      <c r="F734" s="293"/>
      <c r="G734" s="293"/>
      <c r="J734" s="634"/>
      <c r="K734" s="635"/>
      <c r="L734" s="635"/>
      <c r="M734" s="636"/>
      <c r="N734" s="634"/>
      <c r="O734" s="634"/>
    </row>
    <row r="735">
      <c r="A735" s="92"/>
      <c r="C735" s="637"/>
      <c r="D735" s="293"/>
      <c r="E735" s="293"/>
      <c r="F735" s="293"/>
      <c r="G735" s="293"/>
      <c r="J735" s="634"/>
      <c r="K735" s="635"/>
      <c r="L735" s="635"/>
      <c r="M735" s="636"/>
      <c r="N735" s="634"/>
      <c r="O735" s="634"/>
    </row>
    <row r="736">
      <c r="A736" s="92"/>
      <c r="C736" s="637"/>
      <c r="D736" s="293"/>
      <c r="E736" s="293"/>
      <c r="F736" s="293"/>
      <c r="G736" s="293"/>
      <c r="J736" s="634"/>
      <c r="K736" s="635"/>
      <c r="L736" s="635"/>
      <c r="M736" s="636"/>
      <c r="N736" s="634"/>
      <c r="O736" s="634"/>
    </row>
    <row r="737">
      <c r="A737" s="92"/>
      <c r="C737" s="637"/>
      <c r="D737" s="293"/>
      <c r="E737" s="293"/>
      <c r="F737" s="293"/>
      <c r="G737" s="293"/>
      <c r="J737" s="634"/>
      <c r="K737" s="635"/>
      <c r="L737" s="635"/>
      <c r="M737" s="636"/>
      <c r="N737" s="634"/>
      <c r="O737" s="634"/>
    </row>
    <row r="738">
      <c r="A738" s="92"/>
      <c r="C738" s="637"/>
      <c r="D738" s="293"/>
      <c r="E738" s="293"/>
      <c r="F738" s="293"/>
      <c r="G738" s="293"/>
      <c r="J738" s="634"/>
      <c r="K738" s="635"/>
      <c r="L738" s="635"/>
      <c r="M738" s="636"/>
      <c r="N738" s="634"/>
      <c r="O738" s="634"/>
    </row>
    <row r="739">
      <c r="A739" s="92"/>
      <c r="C739" s="637"/>
      <c r="D739" s="293"/>
      <c r="E739" s="293"/>
      <c r="F739" s="293"/>
      <c r="G739" s="293"/>
      <c r="J739" s="634"/>
      <c r="K739" s="635"/>
      <c r="L739" s="635"/>
      <c r="M739" s="636"/>
      <c r="N739" s="634"/>
      <c r="O739" s="634"/>
    </row>
    <row r="740">
      <c r="A740" s="92"/>
      <c r="C740" s="637"/>
      <c r="D740" s="293"/>
      <c r="E740" s="293"/>
      <c r="F740" s="293"/>
      <c r="G740" s="293"/>
      <c r="J740" s="634"/>
      <c r="K740" s="635"/>
      <c r="L740" s="635"/>
      <c r="M740" s="636"/>
      <c r="N740" s="634"/>
      <c r="O740" s="634"/>
    </row>
    <row r="741">
      <c r="A741" s="92"/>
      <c r="C741" s="637"/>
      <c r="D741" s="293"/>
      <c r="E741" s="293"/>
      <c r="F741" s="293"/>
      <c r="G741" s="293"/>
      <c r="J741" s="634"/>
      <c r="K741" s="635"/>
      <c r="L741" s="635"/>
      <c r="M741" s="636"/>
      <c r="N741" s="634"/>
      <c r="O741" s="634"/>
    </row>
    <row r="742">
      <c r="A742" s="92"/>
      <c r="C742" s="637"/>
      <c r="D742" s="293"/>
      <c r="E742" s="293"/>
      <c r="F742" s="293"/>
      <c r="G742" s="293"/>
      <c r="J742" s="634"/>
      <c r="K742" s="635"/>
      <c r="L742" s="635"/>
      <c r="M742" s="636"/>
      <c r="N742" s="634"/>
      <c r="O742" s="634"/>
    </row>
    <row r="743">
      <c r="A743" s="92"/>
      <c r="C743" s="637"/>
      <c r="D743" s="293"/>
      <c r="E743" s="293"/>
      <c r="F743" s="293"/>
      <c r="G743" s="293"/>
      <c r="J743" s="634"/>
      <c r="K743" s="635"/>
      <c r="L743" s="635"/>
      <c r="M743" s="636"/>
      <c r="N743" s="634"/>
      <c r="O743" s="634"/>
    </row>
    <row r="744">
      <c r="A744" s="92"/>
      <c r="C744" s="637"/>
      <c r="D744" s="293"/>
      <c r="E744" s="293"/>
      <c r="F744" s="293"/>
      <c r="G744" s="293"/>
      <c r="J744" s="634"/>
      <c r="K744" s="635"/>
      <c r="L744" s="635"/>
      <c r="M744" s="636"/>
      <c r="N744" s="634"/>
      <c r="O744" s="634"/>
    </row>
    <row r="745">
      <c r="A745" s="92"/>
      <c r="C745" s="637"/>
      <c r="D745" s="293"/>
      <c r="E745" s="293"/>
      <c r="F745" s="293"/>
      <c r="G745" s="293"/>
      <c r="J745" s="634"/>
      <c r="K745" s="635"/>
      <c r="L745" s="635"/>
      <c r="M745" s="636"/>
      <c r="N745" s="634"/>
      <c r="O745" s="634"/>
    </row>
    <row r="746">
      <c r="A746" s="92"/>
      <c r="C746" s="637"/>
      <c r="D746" s="293"/>
      <c r="E746" s="293"/>
      <c r="F746" s="293"/>
      <c r="G746" s="293"/>
      <c r="J746" s="634"/>
      <c r="K746" s="635"/>
      <c r="L746" s="635"/>
      <c r="M746" s="636"/>
      <c r="N746" s="634"/>
      <c r="O746" s="634"/>
    </row>
    <row r="747">
      <c r="A747" s="92"/>
      <c r="C747" s="637"/>
      <c r="D747" s="293"/>
      <c r="E747" s="293"/>
      <c r="F747" s="293"/>
      <c r="G747" s="293"/>
      <c r="J747" s="634"/>
      <c r="K747" s="635"/>
      <c r="L747" s="635"/>
      <c r="M747" s="636"/>
      <c r="N747" s="634"/>
      <c r="O747" s="634"/>
    </row>
    <row r="748">
      <c r="A748" s="92"/>
      <c r="C748" s="637"/>
      <c r="D748" s="293"/>
      <c r="E748" s="293"/>
      <c r="F748" s="293"/>
      <c r="G748" s="293"/>
      <c r="J748" s="634"/>
      <c r="K748" s="635"/>
      <c r="L748" s="635"/>
      <c r="M748" s="636"/>
      <c r="N748" s="634"/>
      <c r="O748" s="634"/>
    </row>
    <row r="749">
      <c r="A749" s="92"/>
      <c r="C749" s="637"/>
      <c r="D749" s="293"/>
      <c r="E749" s="293"/>
      <c r="F749" s="293"/>
      <c r="G749" s="293"/>
      <c r="J749" s="634"/>
      <c r="K749" s="635"/>
      <c r="L749" s="635"/>
      <c r="M749" s="636"/>
      <c r="N749" s="634"/>
      <c r="O749" s="634"/>
    </row>
    <row r="750">
      <c r="A750" s="92"/>
      <c r="C750" s="637"/>
      <c r="D750" s="293"/>
      <c r="E750" s="293"/>
      <c r="F750" s="293"/>
      <c r="G750" s="293"/>
      <c r="J750" s="634"/>
      <c r="K750" s="635"/>
      <c r="L750" s="635"/>
      <c r="M750" s="636"/>
      <c r="N750" s="634"/>
      <c r="O750" s="634"/>
    </row>
    <row r="751">
      <c r="A751" s="92"/>
      <c r="C751" s="637"/>
      <c r="D751" s="293"/>
      <c r="E751" s="293"/>
      <c r="F751" s="293"/>
      <c r="G751" s="293"/>
      <c r="J751" s="634"/>
      <c r="K751" s="635"/>
      <c r="L751" s="635"/>
      <c r="M751" s="636"/>
      <c r="N751" s="634"/>
      <c r="O751" s="634"/>
    </row>
    <row r="752">
      <c r="A752" s="92"/>
      <c r="C752" s="637"/>
      <c r="D752" s="293"/>
      <c r="E752" s="293"/>
      <c r="F752" s="293"/>
      <c r="G752" s="293"/>
      <c r="J752" s="634"/>
      <c r="K752" s="635"/>
      <c r="L752" s="635"/>
      <c r="M752" s="636"/>
      <c r="N752" s="634"/>
      <c r="O752" s="634"/>
    </row>
    <row r="753">
      <c r="A753" s="92"/>
      <c r="C753" s="637"/>
      <c r="D753" s="293"/>
      <c r="E753" s="293"/>
      <c r="F753" s="293"/>
      <c r="G753" s="293"/>
      <c r="J753" s="634"/>
      <c r="K753" s="635"/>
      <c r="L753" s="635"/>
      <c r="M753" s="636"/>
      <c r="N753" s="634"/>
      <c r="O753" s="634"/>
    </row>
    <row r="754">
      <c r="A754" s="92"/>
      <c r="C754" s="637"/>
      <c r="D754" s="293"/>
      <c r="E754" s="293"/>
      <c r="F754" s="293"/>
      <c r="G754" s="293"/>
      <c r="J754" s="634"/>
      <c r="K754" s="635"/>
      <c r="L754" s="635"/>
      <c r="M754" s="636"/>
      <c r="N754" s="634"/>
      <c r="O754" s="634"/>
    </row>
    <row r="755">
      <c r="A755" s="92"/>
      <c r="C755" s="637"/>
      <c r="D755" s="293"/>
      <c r="E755" s="293"/>
      <c r="F755" s="293"/>
      <c r="G755" s="293"/>
      <c r="J755" s="634"/>
      <c r="K755" s="635"/>
      <c r="L755" s="635"/>
      <c r="M755" s="636"/>
      <c r="N755" s="634"/>
      <c r="O755" s="634"/>
    </row>
    <row r="756">
      <c r="A756" s="92"/>
      <c r="C756" s="637"/>
      <c r="D756" s="293"/>
      <c r="E756" s="293"/>
      <c r="F756" s="293"/>
      <c r="G756" s="293"/>
      <c r="J756" s="634"/>
      <c r="K756" s="635"/>
      <c r="L756" s="635"/>
      <c r="M756" s="636"/>
      <c r="N756" s="634"/>
      <c r="O756" s="634"/>
    </row>
    <row r="757">
      <c r="A757" s="92"/>
      <c r="C757" s="637"/>
      <c r="D757" s="293"/>
      <c r="E757" s="293"/>
      <c r="F757" s="293"/>
      <c r="G757" s="293"/>
      <c r="J757" s="634"/>
      <c r="K757" s="635"/>
      <c r="L757" s="635"/>
      <c r="M757" s="636"/>
      <c r="N757" s="634"/>
      <c r="O757" s="634"/>
    </row>
    <row r="758">
      <c r="A758" s="92"/>
      <c r="C758" s="637"/>
      <c r="D758" s="293"/>
      <c r="E758" s="293"/>
      <c r="F758" s="293"/>
      <c r="G758" s="293"/>
      <c r="J758" s="634"/>
      <c r="K758" s="635"/>
      <c r="L758" s="635"/>
      <c r="M758" s="636"/>
      <c r="N758" s="634"/>
      <c r="O758" s="634"/>
    </row>
    <row r="759">
      <c r="A759" s="92"/>
      <c r="C759" s="637"/>
      <c r="D759" s="293"/>
      <c r="E759" s="293"/>
      <c r="F759" s="293"/>
      <c r="G759" s="293"/>
      <c r="J759" s="634"/>
      <c r="K759" s="635"/>
      <c r="L759" s="635"/>
      <c r="M759" s="636"/>
      <c r="N759" s="634"/>
      <c r="O759" s="634"/>
    </row>
    <row r="760">
      <c r="A760" s="92"/>
      <c r="C760" s="637"/>
      <c r="D760" s="293"/>
      <c r="E760" s="293"/>
      <c r="F760" s="293"/>
      <c r="G760" s="293"/>
      <c r="J760" s="634"/>
      <c r="K760" s="635"/>
      <c r="L760" s="635"/>
      <c r="M760" s="636"/>
      <c r="N760" s="634"/>
      <c r="O760" s="634"/>
    </row>
    <row r="761">
      <c r="A761" s="92"/>
      <c r="C761" s="637"/>
      <c r="D761" s="293"/>
      <c r="E761" s="293"/>
      <c r="F761" s="293"/>
      <c r="G761" s="293"/>
      <c r="J761" s="634"/>
      <c r="K761" s="635"/>
      <c r="L761" s="635"/>
      <c r="M761" s="636"/>
      <c r="N761" s="634"/>
      <c r="O761" s="634"/>
    </row>
    <row r="762">
      <c r="A762" s="92"/>
      <c r="C762" s="637"/>
      <c r="D762" s="293"/>
      <c r="E762" s="293"/>
      <c r="F762" s="293"/>
      <c r="G762" s="293"/>
      <c r="J762" s="634"/>
      <c r="K762" s="635"/>
      <c r="L762" s="635"/>
      <c r="M762" s="636"/>
      <c r="N762" s="634"/>
      <c r="O762" s="634"/>
    </row>
    <row r="763">
      <c r="A763" s="92"/>
      <c r="C763" s="637"/>
      <c r="D763" s="293"/>
      <c r="E763" s="293"/>
      <c r="F763" s="293"/>
      <c r="G763" s="293"/>
      <c r="J763" s="634"/>
      <c r="K763" s="635"/>
      <c r="L763" s="635"/>
      <c r="M763" s="636"/>
      <c r="N763" s="634"/>
      <c r="O763" s="634"/>
    </row>
    <row r="764">
      <c r="A764" s="92"/>
      <c r="C764" s="637"/>
      <c r="D764" s="293"/>
      <c r="E764" s="293"/>
      <c r="F764" s="293"/>
      <c r="G764" s="293"/>
      <c r="J764" s="634"/>
      <c r="K764" s="635"/>
      <c r="L764" s="635"/>
      <c r="M764" s="636"/>
      <c r="N764" s="634"/>
      <c r="O764" s="634"/>
    </row>
    <row r="765">
      <c r="A765" s="92"/>
      <c r="C765" s="637"/>
      <c r="D765" s="293"/>
      <c r="E765" s="293"/>
      <c r="F765" s="293"/>
      <c r="G765" s="293"/>
      <c r="J765" s="634"/>
      <c r="K765" s="635"/>
      <c r="L765" s="635"/>
      <c r="M765" s="636"/>
      <c r="N765" s="634"/>
      <c r="O765" s="634"/>
    </row>
    <row r="766">
      <c r="A766" s="92"/>
      <c r="C766" s="637"/>
      <c r="D766" s="293"/>
      <c r="E766" s="293"/>
      <c r="F766" s="293"/>
      <c r="G766" s="293"/>
      <c r="J766" s="634"/>
      <c r="K766" s="635"/>
      <c r="L766" s="635"/>
      <c r="M766" s="636"/>
      <c r="N766" s="634"/>
      <c r="O766" s="634"/>
    </row>
    <row r="767">
      <c r="A767" s="92"/>
      <c r="C767" s="637"/>
      <c r="D767" s="293"/>
      <c r="E767" s="293"/>
      <c r="F767" s="293"/>
      <c r="G767" s="293"/>
      <c r="J767" s="634"/>
      <c r="K767" s="635"/>
      <c r="L767" s="635"/>
      <c r="M767" s="636"/>
      <c r="N767" s="634"/>
      <c r="O767" s="634"/>
    </row>
    <row r="768">
      <c r="A768" s="92"/>
      <c r="C768" s="637"/>
      <c r="D768" s="293"/>
      <c r="E768" s="293"/>
      <c r="F768" s="293"/>
      <c r="G768" s="293"/>
      <c r="J768" s="634"/>
      <c r="K768" s="635"/>
      <c r="L768" s="635"/>
      <c r="M768" s="636"/>
      <c r="N768" s="634"/>
      <c r="O768" s="634"/>
    </row>
    <row r="769">
      <c r="A769" s="92"/>
      <c r="C769" s="637"/>
      <c r="D769" s="293"/>
      <c r="E769" s="293"/>
      <c r="F769" s="293"/>
      <c r="G769" s="293"/>
      <c r="J769" s="634"/>
      <c r="K769" s="635"/>
      <c r="L769" s="635"/>
      <c r="M769" s="636"/>
      <c r="N769" s="634"/>
      <c r="O769" s="634"/>
    </row>
    <row r="770">
      <c r="A770" s="92"/>
      <c r="C770" s="637"/>
      <c r="D770" s="293"/>
      <c r="E770" s="293"/>
      <c r="F770" s="293"/>
      <c r="G770" s="293"/>
      <c r="J770" s="634"/>
      <c r="K770" s="635"/>
      <c r="L770" s="635"/>
      <c r="M770" s="636"/>
      <c r="N770" s="634"/>
      <c r="O770" s="634"/>
    </row>
    <row r="771">
      <c r="A771" s="92"/>
      <c r="C771" s="637"/>
      <c r="D771" s="293"/>
      <c r="E771" s="293"/>
      <c r="F771" s="293"/>
      <c r="G771" s="293"/>
      <c r="J771" s="634"/>
      <c r="K771" s="635"/>
      <c r="L771" s="635"/>
      <c r="M771" s="636"/>
      <c r="N771" s="634"/>
      <c r="O771" s="634"/>
    </row>
    <row r="772">
      <c r="A772" s="92"/>
      <c r="C772" s="637"/>
      <c r="D772" s="293"/>
      <c r="E772" s="293"/>
      <c r="F772" s="293"/>
      <c r="G772" s="293"/>
      <c r="J772" s="634"/>
      <c r="K772" s="635"/>
      <c r="L772" s="635"/>
      <c r="M772" s="636"/>
      <c r="N772" s="634"/>
      <c r="O772" s="634"/>
    </row>
    <row r="773">
      <c r="A773" s="92"/>
      <c r="C773" s="637"/>
      <c r="D773" s="293"/>
      <c r="E773" s="293"/>
      <c r="F773" s="293"/>
      <c r="G773" s="293"/>
      <c r="J773" s="634"/>
      <c r="K773" s="635"/>
      <c r="L773" s="635"/>
      <c r="M773" s="636"/>
      <c r="N773" s="634"/>
      <c r="O773" s="634"/>
    </row>
    <row r="774">
      <c r="A774" s="92"/>
      <c r="C774" s="637"/>
      <c r="D774" s="293"/>
      <c r="E774" s="293"/>
      <c r="F774" s="293"/>
      <c r="G774" s="293"/>
      <c r="J774" s="634"/>
      <c r="K774" s="635"/>
      <c r="L774" s="635"/>
      <c r="M774" s="636"/>
      <c r="N774" s="634"/>
      <c r="O774" s="634"/>
    </row>
    <row r="775">
      <c r="A775" s="92"/>
      <c r="C775" s="637"/>
      <c r="D775" s="293"/>
      <c r="E775" s="293"/>
      <c r="F775" s="293"/>
      <c r="G775" s="293"/>
      <c r="J775" s="634"/>
      <c r="K775" s="635"/>
      <c r="L775" s="635"/>
      <c r="M775" s="636"/>
      <c r="N775" s="634"/>
      <c r="O775" s="634"/>
    </row>
    <row r="776">
      <c r="A776" s="92"/>
      <c r="C776" s="637"/>
      <c r="D776" s="293"/>
      <c r="E776" s="293"/>
      <c r="F776" s="293"/>
      <c r="G776" s="293"/>
      <c r="J776" s="634"/>
      <c r="K776" s="635"/>
      <c r="L776" s="635"/>
      <c r="M776" s="636"/>
      <c r="N776" s="634"/>
      <c r="O776" s="634"/>
    </row>
    <row r="777">
      <c r="A777" s="92"/>
      <c r="C777" s="637"/>
      <c r="D777" s="293"/>
      <c r="E777" s="293"/>
      <c r="F777" s="293"/>
      <c r="G777" s="293"/>
      <c r="J777" s="634"/>
      <c r="K777" s="635"/>
      <c r="L777" s="635"/>
      <c r="M777" s="636"/>
      <c r="N777" s="634"/>
      <c r="O777" s="634"/>
    </row>
    <row r="778">
      <c r="A778" s="92"/>
      <c r="C778" s="637"/>
      <c r="D778" s="293"/>
      <c r="E778" s="293"/>
      <c r="F778" s="293"/>
      <c r="G778" s="293"/>
      <c r="J778" s="634"/>
      <c r="K778" s="635"/>
      <c r="L778" s="635"/>
      <c r="M778" s="636"/>
      <c r="N778" s="634"/>
      <c r="O778" s="634"/>
    </row>
    <row r="779">
      <c r="A779" s="92"/>
      <c r="C779" s="637"/>
      <c r="D779" s="293"/>
      <c r="E779" s="293"/>
      <c r="F779" s="293"/>
      <c r="G779" s="293"/>
      <c r="J779" s="634"/>
      <c r="K779" s="635"/>
      <c r="L779" s="635"/>
      <c r="M779" s="636"/>
      <c r="N779" s="634"/>
      <c r="O779" s="634"/>
    </row>
    <row r="780">
      <c r="A780" s="92"/>
      <c r="C780" s="637"/>
      <c r="D780" s="293"/>
      <c r="E780" s="293"/>
      <c r="F780" s="293"/>
      <c r="G780" s="293"/>
      <c r="J780" s="634"/>
      <c r="K780" s="635"/>
      <c r="L780" s="635"/>
      <c r="M780" s="636"/>
      <c r="N780" s="634"/>
      <c r="O780" s="634"/>
    </row>
    <row r="781">
      <c r="A781" s="92"/>
      <c r="C781" s="637"/>
      <c r="D781" s="293"/>
      <c r="E781" s="293"/>
      <c r="F781" s="293"/>
      <c r="G781" s="293"/>
      <c r="J781" s="634"/>
      <c r="K781" s="635"/>
      <c r="L781" s="635"/>
      <c r="M781" s="636"/>
      <c r="N781" s="634"/>
      <c r="O781" s="634"/>
    </row>
    <row r="782">
      <c r="A782" s="92"/>
      <c r="C782" s="637"/>
      <c r="D782" s="293"/>
      <c r="E782" s="293"/>
      <c r="F782" s="293"/>
      <c r="G782" s="293"/>
      <c r="J782" s="634"/>
      <c r="K782" s="635"/>
      <c r="L782" s="635"/>
      <c r="M782" s="636"/>
      <c r="N782" s="634"/>
      <c r="O782" s="634"/>
    </row>
    <row r="783">
      <c r="A783" s="92"/>
      <c r="C783" s="637"/>
      <c r="D783" s="293"/>
      <c r="E783" s="293"/>
      <c r="F783" s="293"/>
      <c r="G783" s="293"/>
      <c r="J783" s="634"/>
      <c r="K783" s="635"/>
      <c r="L783" s="635"/>
      <c r="M783" s="636"/>
      <c r="N783" s="634"/>
      <c r="O783" s="634"/>
    </row>
    <row r="784">
      <c r="A784" s="92"/>
      <c r="C784" s="637"/>
      <c r="D784" s="293"/>
      <c r="E784" s="293"/>
      <c r="F784" s="293"/>
      <c r="G784" s="293"/>
      <c r="J784" s="634"/>
      <c r="K784" s="635"/>
      <c r="L784" s="635"/>
      <c r="M784" s="636"/>
      <c r="N784" s="634"/>
      <c r="O784" s="634"/>
    </row>
    <row r="785">
      <c r="A785" s="92"/>
      <c r="C785" s="637"/>
      <c r="D785" s="293"/>
      <c r="E785" s="293"/>
      <c r="F785" s="293"/>
      <c r="G785" s="293"/>
      <c r="J785" s="634"/>
      <c r="K785" s="635"/>
      <c r="L785" s="635"/>
      <c r="M785" s="636"/>
      <c r="N785" s="634"/>
      <c r="O785" s="634"/>
    </row>
    <row r="786">
      <c r="A786" s="92"/>
      <c r="C786" s="637"/>
      <c r="D786" s="293"/>
      <c r="E786" s="293"/>
      <c r="F786" s="293"/>
      <c r="G786" s="293"/>
      <c r="J786" s="634"/>
      <c r="K786" s="635"/>
      <c r="L786" s="635"/>
      <c r="M786" s="636"/>
      <c r="N786" s="634"/>
      <c r="O786" s="634"/>
    </row>
    <row r="787">
      <c r="A787" s="92"/>
      <c r="C787" s="637"/>
      <c r="D787" s="293"/>
      <c r="E787" s="293"/>
      <c r="F787" s="293"/>
      <c r="G787" s="293"/>
      <c r="J787" s="634"/>
      <c r="K787" s="635"/>
      <c r="L787" s="635"/>
      <c r="M787" s="636"/>
      <c r="N787" s="634"/>
      <c r="O787" s="634"/>
    </row>
    <row r="788">
      <c r="A788" s="92"/>
      <c r="C788" s="637"/>
      <c r="D788" s="293"/>
      <c r="E788" s="293"/>
      <c r="F788" s="293"/>
      <c r="G788" s="293"/>
      <c r="J788" s="634"/>
      <c r="K788" s="635"/>
      <c r="L788" s="635"/>
      <c r="M788" s="636"/>
      <c r="N788" s="634"/>
      <c r="O788" s="634"/>
    </row>
    <row r="789">
      <c r="A789" s="92"/>
      <c r="C789" s="637"/>
      <c r="D789" s="293"/>
      <c r="E789" s="293"/>
      <c r="F789" s="293"/>
      <c r="G789" s="293"/>
      <c r="J789" s="634"/>
      <c r="K789" s="635"/>
      <c r="L789" s="635"/>
      <c r="M789" s="636"/>
      <c r="N789" s="634"/>
      <c r="O789" s="634"/>
    </row>
    <row r="790">
      <c r="A790" s="92"/>
      <c r="C790" s="637"/>
      <c r="D790" s="293"/>
      <c r="E790" s="293"/>
      <c r="F790" s="293"/>
      <c r="G790" s="293"/>
      <c r="J790" s="634"/>
      <c r="K790" s="635"/>
      <c r="L790" s="635"/>
      <c r="M790" s="636"/>
      <c r="N790" s="634"/>
      <c r="O790" s="634"/>
    </row>
    <row r="791">
      <c r="A791" s="92"/>
      <c r="C791" s="637"/>
      <c r="D791" s="293"/>
      <c r="E791" s="293"/>
      <c r="F791" s="293"/>
      <c r="G791" s="293"/>
      <c r="J791" s="634"/>
      <c r="K791" s="635"/>
      <c r="L791" s="635"/>
      <c r="M791" s="636"/>
      <c r="N791" s="634"/>
      <c r="O791" s="634"/>
    </row>
    <row r="792">
      <c r="A792" s="92"/>
      <c r="C792" s="637"/>
      <c r="D792" s="293"/>
      <c r="E792" s="293"/>
      <c r="F792" s="293"/>
      <c r="G792" s="293"/>
      <c r="J792" s="634"/>
      <c r="K792" s="635"/>
      <c r="L792" s="635"/>
      <c r="M792" s="636"/>
      <c r="N792" s="634"/>
      <c r="O792" s="634"/>
    </row>
    <row r="793">
      <c r="A793" s="92"/>
      <c r="C793" s="637"/>
      <c r="D793" s="293"/>
      <c r="E793" s="293"/>
      <c r="F793" s="293"/>
      <c r="G793" s="293"/>
      <c r="J793" s="634"/>
      <c r="K793" s="635"/>
      <c r="L793" s="635"/>
      <c r="M793" s="636"/>
      <c r="N793" s="634"/>
      <c r="O793" s="634"/>
    </row>
    <row r="794">
      <c r="A794" s="92"/>
      <c r="C794" s="637"/>
      <c r="D794" s="293"/>
      <c r="E794" s="293"/>
      <c r="F794" s="293"/>
      <c r="G794" s="293"/>
      <c r="J794" s="634"/>
      <c r="K794" s="635"/>
      <c r="L794" s="635"/>
      <c r="M794" s="636"/>
      <c r="N794" s="634"/>
      <c r="O794" s="634"/>
    </row>
    <row r="795">
      <c r="A795" s="92"/>
      <c r="C795" s="637"/>
      <c r="D795" s="293"/>
      <c r="E795" s="293"/>
      <c r="F795" s="293"/>
      <c r="G795" s="293"/>
      <c r="J795" s="634"/>
      <c r="K795" s="635"/>
      <c r="L795" s="635"/>
      <c r="M795" s="636"/>
      <c r="N795" s="634"/>
      <c r="O795" s="634"/>
    </row>
    <row r="796">
      <c r="A796" s="92"/>
      <c r="C796" s="637"/>
      <c r="D796" s="293"/>
      <c r="E796" s="293"/>
      <c r="F796" s="293"/>
      <c r="G796" s="293"/>
      <c r="J796" s="634"/>
      <c r="K796" s="635"/>
      <c r="L796" s="635"/>
      <c r="M796" s="636"/>
      <c r="N796" s="634"/>
      <c r="O796" s="634"/>
    </row>
    <row r="797">
      <c r="A797" s="92"/>
      <c r="C797" s="637"/>
      <c r="D797" s="293"/>
      <c r="E797" s="293"/>
      <c r="F797" s="293"/>
      <c r="G797" s="293"/>
      <c r="J797" s="634"/>
      <c r="K797" s="635"/>
      <c r="L797" s="635"/>
      <c r="M797" s="636"/>
      <c r="N797" s="634"/>
      <c r="O797" s="634"/>
    </row>
    <row r="798">
      <c r="A798" s="92"/>
      <c r="C798" s="637"/>
      <c r="D798" s="293"/>
      <c r="E798" s="293"/>
      <c r="F798" s="293"/>
      <c r="G798" s="293"/>
      <c r="J798" s="634"/>
      <c r="K798" s="635"/>
      <c r="L798" s="635"/>
      <c r="M798" s="636"/>
      <c r="N798" s="634"/>
      <c r="O798" s="634"/>
    </row>
    <row r="799">
      <c r="A799" s="92"/>
      <c r="C799" s="637"/>
      <c r="D799" s="293"/>
      <c r="E799" s="293"/>
      <c r="F799" s="293"/>
      <c r="G799" s="293"/>
      <c r="J799" s="634"/>
      <c r="K799" s="635"/>
      <c r="L799" s="635"/>
      <c r="M799" s="636"/>
      <c r="N799" s="634"/>
      <c r="O799" s="634"/>
    </row>
    <row r="800">
      <c r="A800" s="92"/>
      <c r="C800" s="637"/>
      <c r="D800" s="293"/>
      <c r="E800" s="293"/>
      <c r="F800" s="293"/>
      <c r="G800" s="293"/>
      <c r="J800" s="634"/>
      <c r="K800" s="635"/>
      <c r="L800" s="635"/>
      <c r="M800" s="636"/>
      <c r="N800" s="634"/>
      <c r="O800" s="634"/>
    </row>
    <row r="801">
      <c r="A801" s="92"/>
      <c r="C801" s="637"/>
      <c r="D801" s="293"/>
      <c r="E801" s="293"/>
      <c r="F801" s="293"/>
      <c r="G801" s="293"/>
      <c r="J801" s="634"/>
      <c r="K801" s="635"/>
      <c r="L801" s="635"/>
      <c r="M801" s="636"/>
      <c r="N801" s="634"/>
      <c r="O801" s="634"/>
    </row>
    <row r="802">
      <c r="A802" s="92"/>
      <c r="C802" s="637"/>
      <c r="D802" s="293"/>
      <c r="E802" s="293"/>
      <c r="F802" s="293"/>
      <c r="G802" s="293"/>
      <c r="J802" s="634"/>
      <c r="K802" s="635"/>
      <c r="L802" s="635"/>
      <c r="M802" s="636"/>
      <c r="N802" s="634"/>
      <c r="O802" s="634"/>
    </row>
    <row r="803">
      <c r="A803" s="92"/>
      <c r="C803" s="637"/>
      <c r="D803" s="293"/>
      <c r="E803" s="293"/>
      <c r="F803" s="293"/>
      <c r="G803" s="293"/>
      <c r="J803" s="634"/>
      <c r="K803" s="635"/>
      <c r="L803" s="635"/>
      <c r="M803" s="636"/>
      <c r="N803" s="634"/>
      <c r="O803" s="634"/>
    </row>
    <row r="804">
      <c r="A804" s="92"/>
      <c r="C804" s="637"/>
      <c r="D804" s="293"/>
      <c r="E804" s="293"/>
      <c r="F804" s="293"/>
      <c r="G804" s="293"/>
      <c r="J804" s="634"/>
      <c r="K804" s="635"/>
      <c r="L804" s="635"/>
      <c r="M804" s="636"/>
      <c r="N804" s="634"/>
      <c r="O804" s="634"/>
    </row>
    <row r="805">
      <c r="A805" s="92"/>
      <c r="C805" s="637"/>
      <c r="D805" s="293"/>
      <c r="E805" s="293"/>
      <c r="F805" s="293"/>
      <c r="G805" s="293"/>
      <c r="J805" s="634"/>
      <c r="K805" s="635"/>
      <c r="L805" s="635"/>
      <c r="M805" s="636"/>
      <c r="N805" s="634"/>
      <c r="O805" s="634"/>
    </row>
    <row r="806">
      <c r="A806" s="92"/>
      <c r="C806" s="637"/>
      <c r="D806" s="293"/>
      <c r="E806" s="293"/>
      <c r="F806" s="293"/>
      <c r="G806" s="293"/>
      <c r="J806" s="634"/>
      <c r="K806" s="635"/>
      <c r="L806" s="635"/>
      <c r="M806" s="636"/>
      <c r="N806" s="634"/>
      <c r="O806" s="634"/>
    </row>
    <row r="807">
      <c r="A807" s="92"/>
      <c r="C807" s="637"/>
      <c r="D807" s="293"/>
      <c r="E807" s="293"/>
      <c r="F807" s="293"/>
      <c r="G807" s="293"/>
      <c r="J807" s="634"/>
      <c r="K807" s="635"/>
      <c r="L807" s="635"/>
      <c r="M807" s="636"/>
      <c r="N807" s="634"/>
      <c r="O807" s="634"/>
    </row>
    <row r="808">
      <c r="A808" s="92"/>
      <c r="C808" s="637"/>
      <c r="D808" s="293"/>
      <c r="E808" s="293"/>
      <c r="F808" s="293"/>
      <c r="G808" s="293"/>
      <c r="J808" s="634"/>
      <c r="K808" s="635"/>
      <c r="L808" s="635"/>
      <c r="M808" s="636"/>
      <c r="N808" s="634"/>
      <c r="O808" s="634"/>
    </row>
    <row r="809">
      <c r="A809" s="92"/>
      <c r="C809" s="637"/>
      <c r="D809" s="293"/>
      <c r="E809" s="293"/>
      <c r="F809" s="293"/>
      <c r="G809" s="293"/>
      <c r="J809" s="634"/>
      <c r="K809" s="635"/>
      <c r="L809" s="635"/>
      <c r="M809" s="636"/>
      <c r="N809" s="634"/>
      <c r="O809" s="634"/>
    </row>
    <row r="810">
      <c r="A810" s="92"/>
      <c r="C810" s="637"/>
      <c r="D810" s="293"/>
      <c r="E810" s="293"/>
      <c r="F810" s="293"/>
      <c r="G810" s="293"/>
      <c r="J810" s="634"/>
      <c r="K810" s="635"/>
      <c r="L810" s="635"/>
      <c r="M810" s="636"/>
      <c r="N810" s="634"/>
      <c r="O810" s="634"/>
    </row>
    <row r="811">
      <c r="A811" s="92"/>
      <c r="C811" s="637"/>
      <c r="D811" s="293"/>
      <c r="E811" s="293"/>
      <c r="F811" s="293"/>
      <c r="G811" s="293"/>
      <c r="J811" s="634"/>
      <c r="K811" s="635"/>
      <c r="L811" s="635"/>
      <c r="M811" s="636"/>
      <c r="N811" s="634"/>
      <c r="O811" s="634"/>
    </row>
    <row r="812">
      <c r="A812" s="92"/>
      <c r="C812" s="637"/>
      <c r="D812" s="293"/>
      <c r="E812" s="293"/>
      <c r="F812" s="293"/>
      <c r="G812" s="293"/>
      <c r="J812" s="634"/>
      <c r="K812" s="635"/>
      <c r="L812" s="635"/>
      <c r="M812" s="636"/>
      <c r="N812" s="634"/>
      <c r="O812" s="634"/>
    </row>
    <row r="813">
      <c r="A813" s="92"/>
      <c r="C813" s="637"/>
      <c r="D813" s="293"/>
      <c r="E813" s="293"/>
      <c r="F813" s="293"/>
      <c r="G813" s="293"/>
      <c r="J813" s="634"/>
      <c r="K813" s="635"/>
      <c r="L813" s="635"/>
      <c r="M813" s="636"/>
      <c r="N813" s="634"/>
      <c r="O813" s="634"/>
    </row>
    <row r="814">
      <c r="A814" s="92"/>
      <c r="C814" s="637"/>
      <c r="D814" s="293"/>
      <c r="E814" s="293"/>
      <c r="F814" s="293"/>
      <c r="G814" s="293"/>
      <c r="J814" s="634"/>
      <c r="K814" s="635"/>
      <c r="L814" s="635"/>
      <c r="M814" s="636"/>
      <c r="N814" s="634"/>
      <c r="O814" s="634"/>
    </row>
    <row r="815">
      <c r="A815" s="92"/>
      <c r="C815" s="637"/>
      <c r="D815" s="293"/>
      <c r="E815" s="293"/>
      <c r="F815" s="293"/>
      <c r="G815" s="293"/>
      <c r="J815" s="634"/>
      <c r="K815" s="635"/>
      <c r="L815" s="635"/>
      <c r="M815" s="636"/>
      <c r="N815" s="634"/>
      <c r="O815" s="634"/>
    </row>
    <row r="816">
      <c r="A816" s="92"/>
      <c r="C816" s="637"/>
      <c r="D816" s="293"/>
      <c r="E816" s="293"/>
      <c r="F816" s="293"/>
      <c r="G816" s="293"/>
      <c r="J816" s="634"/>
      <c r="K816" s="635"/>
      <c r="L816" s="635"/>
      <c r="M816" s="636"/>
      <c r="N816" s="634"/>
      <c r="O816" s="634"/>
    </row>
    <row r="817">
      <c r="A817" s="92"/>
      <c r="C817" s="637"/>
      <c r="D817" s="293"/>
      <c r="E817" s="293"/>
      <c r="F817" s="293"/>
      <c r="G817" s="293"/>
      <c r="J817" s="634"/>
      <c r="K817" s="635"/>
      <c r="L817" s="635"/>
      <c r="M817" s="636"/>
      <c r="N817" s="634"/>
      <c r="O817" s="634"/>
    </row>
    <row r="818">
      <c r="A818" s="92"/>
      <c r="C818" s="637"/>
      <c r="D818" s="293"/>
      <c r="E818" s="293"/>
      <c r="F818" s="293"/>
      <c r="G818" s="293"/>
      <c r="J818" s="634"/>
      <c r="K818" s="635"/>
      <c r="L818" s="635"/>
      <c r="M818" s="636"/>
      <c r="N818" s="634"/>
      <c r="O818" s="634"/>
    </row>
    <row r="819">
      <c r="A819" s="92"/>
      <c r="C819" s="637"/>
      <c r="D819" s="293"/>
      <c r="E819" s="293"/>
      <c r="F819" s="293"/>
      <c r="G819" s="293"/>
      <c r="J819" s="634"/>
      <c r="K819" s="635"/>
      <c r="L819" s="635"/>
      <c r="M819" s="636"/>
      <c r="N819" s="634"/>
      <c r="O819" s="634"/>
    </row>
    <row r="820">
      <c r="A820" s="92"/>
      <c r="C820" s="637"/>
      <c r="D820" s="293"/>
      <c r="E820" s="293"/>
      <c r="F820" s="293"/>
      <c r="G820" s="293"/>
      <c r="J820" s="634"/>
      <c r="K820" s="635"/>
      <c r="L820" s="635"/>
      <c r="M820" s="636"/>
      <c r="N820" s="634"/>
      <c r="O820" s="634"/>
    </row>
    <row r="821">
      <c r="A821" s="92"/>
      <c r="C821" s="637"/>
      <c r="D821" s="293"/>
      <c r="E821" s="293"/>
      <c r="F821" s="293"/>
      <c r="G821" s="293"/>
      <c r="J821" s="634"/>
      <c r="K821" s="635"/>
      <c r="L821" s="635"/>
      <c r="M821" s="636"/>
      <c r="N821" s="634"/>
      <c r="O821" s="634"/>
    </row>
    <row r="822">
      <c r="A822" s="92"/>
      <c r="C822" s="637"/>
      <c r="D822" s="293"/>
      <c r="E822" s="293"/>
      <c r="F822" s="293"/>
      <c r="G822" s="293"/>
      <c r="J822" s="634"/>
      <c r="K822" s="635"/>
      <c r="L822" s="635"/>
      <c r="M822" s="636"/>
      <c r="N822" s="634"/>
      <c r="O822" s="634"/>
    </row>
    <row r="823">
      <c r="A823" s="92"/>
      <c r="C823" s="637"/>
      <c r="D823" s="293"/>
      <c r="E823" s="293"/>
      <c r="F823" s="293"/>
      <c r="G823" s="293"/>
      <c r="J823" s="634"/>
      <c r="K823" s="635"/>
      <c r="L823" s="635"/>
      <c r="M823" s="636"/>
      <c r="N823" s="634"/>
      <c r="O823" s="634"/>
    </row>
    <row r="824">
      <c r="A824" s="92"/>
      <c r="C824" s="637"/>
      <c r="D824" s="293"/>
      <c r="E824" s="293"/>
      <c r="F824" s="293"/>
      <c r="G824" s="293"/>
      <c r="J824" s="634"/>
      <c r="K824" s="635"/>
      <c r="L824" s="635"/>
      <c r="M824" s="636"/>
      <c r="N824" s="634"/>
      <c r="O824" s="634"/>
    </row>
    <row r="825">
      <c r="A825" s="92"/>
      <c r="C825" s="637"/>
      <c r="D825" s="293"/>
      <c r="E825" s="293"/>
      <c r="F825" s="293"/>
      <c r="G825" s="293"/>
      <c r="J825" s="634"/>
      <c r="K825" s="635"/>
      <c r="L825" s="635"/>
      <c r="M825" s="636"/>
      <c r="N825" s="634"/>
      <c r="O825" s="634"/>
    </row>
    <row r="826">
      <c r="A826" s="92"/>
      <c r="C826" s="637"/>
      <c r="D826" s="293"/>
      <c r="E826" s="293"/>
      <c r="F826" s="293"/>
      <c r="G826" s="293"/>
      <c r="J826" s="634"/>
      <c r="K826" s="635"/>
      <c r="L826" s="635"/>
      <c r="M826" s="636"/>
      <c r="N826" s="634"/>
      <c r="O826" s="634"/>
    </row>
    <row r="827">
      <c r="A827" s="92"/>
      <c r="C827" s="637"/>
      <c r="D827" s="293"/>
      <c r="E827" s="293"/>
      <c r="F827" s="293"/>
      <c r="G827" s="293"/>
      <c r="J827" s="634"/>
      <c r="K827" s="635"/>
      <c r="L827" s="635"/>
      <c r="M827" s="636"/>
      <c r="N827" s="634"/>
      <c r="O827" s="634"/>
    </row>
    <row r="828">
      <c r="A828" s="92"/>
      <c r="C828" s="637"/>
      <c r="D828" s="293"/>
      <c r="E828" s="293"/>
      <c r="F828" s="293"/>
      <c r="G828" s="293"/>
      <c r="J828" s="634"/>
      <c r="K828" s="635"/>
      <c r="L828" s="635"/>
      <c r="M828" s="636"/>
      <c r="N828" s="634"/>
      <c r="O828" s="634"/>
    </row>
    <row r="829">
      <c r="A829" s="92"/>
      <c r="C829" s="637"/>
      <c r="D829" s="293"/>
      <c r="E829" s="293"/>
      <c r="F829" s="293"/>
      <c r="G829" s="293"/>
      <c r="J829" s="634"/>
      <c r="K829" s="635"/>
      <c r="L829" s="635"/>
      <c r="M829" s="636"/>
      <c r="N829" s="634"/>
      <c r="O829" s="634"/>
    </row>
    <row r="830">
      <c r="A830" s="92"/>
      <c r="C830" s="637"/>
      <c r="D830" s="293"/>
      <c r="E830" s="293"/>
      <c r="F830" s="293"/>
      <c r="G830" s="293"/>
      <c r="J830" s="634"/>
      <c r="K830" s="635"/>
      <c r="L830" s="635"/>
      <c r="M830" s="636"/>
      <c r="N830" s="634"/>
      <c r="O830" s="634"/>
    </row>
    <row r="831">
      <c r="A831" s="92"/>
      <c r="C831" s="637"/>
      <c r="D831" s="293"/>
      <c r="E831" s="293"/>
      <c r="F831" s="293"/>
      <c r="G831" s="293"/>
      <c r="J831" s="634"/>
      <c r="K831" s="635"/>
      <c r="L831" s="635"/>
      <c r="M831" s="636"/>
      <c r="N831" s="634"/>
      <c r="O831" s="634"/>
    </row>
    <row r="832">
      <c r="A832" s="92"/>
      <c r="C832" s="637"/>
      <c r="D832" s="293"/>
      <c r="E832" s="293"/>
      <c r="F832" s="293"/>
      <c r="G832" s="293"/>
      <c r="J832" s="634"/>
      <c r="K832" s="635"/>
      <c r="L832" s="635"/>
      <c r="M832" s="636"/>
      <c r="N832" s="634"/>
      <c r="O832" s="634"/>
    </row>
    <row r="833">
      <c r="A833" s="92"/>
      <c r="C833" s="637"/>
      <c r="D833" s="293"/>
      <c r="E833" s="293"/>
      <c r="F833" s="293"/>
      <c r="G833" s="293"/>
      <c r="J833" s="634"/>
      <c r="K833" s="635"/>
      <c r="L833" s="635"/>
      <c r="M833" s="636"/>
      <c r="N833" s="634"/>
      <c r="O833" s="634"/>
    </row>
    <row r="834">
      <c r="A834" s="92"/>
      <c r="C834" s="637"/>
      <c r="D834" s="293"/>
      <c r="E834" s="293"/>
      <c r="F834" s="293"/>
      <c r="G834" s="293"/>
      <c r="J834" s="634"/>
      <c r="K834" s="635"/>
      <c r="L834" s="635"/>
      <c r="M834" s="636"/>
      <c r="N834" s="634"/>
      <c r="O834" s="634"/>
    </row>
    <row r="835">
      <c r="A835" s="92"/>
      <c r="C835" s="637"/>
      <c r="D835" s="293"/>
      <c r="E835" s="293"/>
      <c r="F835" s="293"/>
      <c r="G835" s="293"/>
      <c r="J835" s="634"/>
      <c r="K835" s="635"/>
      <c r="L835" s="635"/>
      <c r="M835" s="636"/>
      <c r="N835" s="634"/>
      <c r="O835" s="634"/>
    </row>
    <row r="836">
      <c r="A836" s="92"/>
      <c r="C836" s="637"/>
      <c r="D836" s="293"/>
      <c r="E836" s="293"/>
      <c r="F836" s="293"/>
      <c r="G836" s="293"/>
      <c r="J836" s="634"/>
      <c r="K836" s="635"/>
      <c r="L836" s="635"/>
      <c r="M836" s="636"/>
      <c r="N836" s="634"/>
      <c r="O836" s="634"/>
    </row>
    <row r="837">
      <c r="A837" s="92"/>
      <c r="C837" s="637"/>
      <c r="D837" s="293"/>
      <c r="E837" s="293"/>
      <c r="F837" s="293"/>
      <c r="G837" s="293"/>
      <c r="J837" s="634"/>
      <c r="K837" s="635"/>
      <c r="L837" s="635"/>
      <c r="M837" s="636"/>
      <c r="N837" s="634"/>
      <c r="O837" s="634"/>
    </row>
    <row r="838">
      <c r="A838" s="92"/>
      <c r="C838" s="637"/>
      <c r="D838" s="293"/>
      <c r="E838" s="293"/>
      <c r="F838" s="293"/>
      <c r="G838" s="293"/>
      <c r="J838" s="634"/>
      <c r="K838" s="635"/>
      <c r="L838" s="635"/>
      <c r="M838" s="636"/>
      <c r="N838" s="634"/>
      <c r="O838" s="634"/>
    </row>
    <row r="839">
      <c r="A839" s="92"/>
      <c r="C839" s="637"/>
      <c r="D839" s="293"/>
      <c r="E839" s="293"/>
      <c r="F839" s="293"/>
      <c r="G839" s="293"/>
      <c r="J839" s="634"/>
      <c r="K839" s="635"/>
      <c r="L839" s="635"/>
      <c r="M839" s="636"/>
      <c r="N839" s="634"/>
      <c r="O839" s="634"/>
    </row>
    <row r="840">
      <c r="A840" s="92"/>
      <c r="C840" s="637"/>
      <c r="D840" s="293"/>
      <c r="E840" s="293"/>
      <c r="F840" s="293"/>
      <c r="G840" s="293"/>
      <c r="J840" s="634"/>
      <c r="K840" s="635"/>
      <c r="L840" s="635"/>
      <c r="M840" s="636"/>
      <c r="N840" s="634"/>
      <c r="O840" s="634"/>
    </row>
    <row r="841">
      <c r="A841" s="92"/>
      <c r="C841" s="637"/>
      <c r="D841" s="293"/>
      <c r="E841" s="293"/>
      <c r="F841" s="293"/>
      <c r="G841" s="293"/>
      <c r="J841" s="634"/>
      <c r="K841" s="635"/>
      <c r="L841" s="635"/>
      <c r="M841" s="636"/>
      <c r="N841" s="634"/>
      <c r="O841" s="634"/>
    </row>
    <row r="842">
      <c r="A842" s="92"/>
      <c r="C842" s="637"/>
      <c r="D842" s="293"/>
      <c r="E842" s="293"/>
      <c r="F842" s="293"/>
      <c r="G842" s="293"/>
      <c r="J842" s="634"/>
      <c r="K842" s="635"/>
      <c r="L842" s="635"/>
      <c r="M842" s="636"/>
      <c r="N842" s="634"/>
      <c r="O842" s="634"/>
    </row>
    <row r="843">
      <c r="A843" s="92"/>
      <c r="C843" s="637"/>
      <c r="D843" s="293"/>
      <c r="E843" s="293"/>
      <c r="F843" s="293"/>
      <c r="G843" s="293"/>
      <c r="J843" s="634"/>
      <c r="K843" s="635"/>
      <c r="L843" s="635"/>
      <c r="M843" s="636"/>
      <c r="N843" s="634"/>
      <c r="O843" s="634"/>
    </row>
    <row r="844">
      <c r="A844" s="92"/>
      <c r="C844" s="637"/>
      <c r="D844" s="293"/>
      <c r="E844" s="293"/>
      <c r="F844" s="293"/>
      <c r="G844" s="293"/>
      <c r="J844" s="634"/>
      <c r="K844" s="635"/>
      <c r="L844" s="635"/>
      <c r="M844" s="636"/>
      <c r="N844" s="634"/>
      <c r="O844" s="634"/>
    </row>
    <row r="845">
      <c r="A845" s="92"/>
      <c r="C845" s="637"/>
      <c r="D845" s="293"/>
      <c r="E845" s="293"/>
      <c r="F845" s="293"/>
      <c r="G845" s="293"/>
      <c r="J845" s="634"/>
      <c r="K845" s="635"/>
      <c r="L845" s="635"/>
      <c r="M845" s="636"/>
      <c r="N845" s="634"/>
      <c r="O845" s="634"/>
    </row>
    <row r="846">
      <c r="A846" s="92"/>
      <c r="C846" s="637"/>
      <c r="D846" s="293"/>
      <c r="E846" s="293"/>
      <c r="F846" s="293"/>
      <c r="G846" s="293"/>
      <c r="J846" s="634"/>
      <c r="K846" s="635"/>
      <c r="L846" s="635"/>
      <c r="M846" s="636"/>
      <c r="N846" s="634"/>
      <c r="O846" s="634"/>
    </row>
    <row r="847">
      <c r="A847" s="92"/>
      <c r="C847" s="637"/>
      <c r="D847" s="293"/>
      <c r="E847" s="293"/>
      <c r="F847" s="293"/>
      <c r="G847" s="293"/>
      <c r="J847" s="634"/>
      <c r="K847" s="635"/>
      <c r="L847" s="635"/>
      <c r="M847" s="636"/>
      <c r="N847" s="634"/>
      <c r="O847" s="634"/>
    </row>
    <row r="848">
      <c r="A848" s="92"/>
      <c r="C848" s="637"/>
      <c r="D848" s="293"/>
      <c r="E848" s="293"/>
      <c r="F848" s="293"/>
      <c r="G848" s="293"/>
      <c r="J848" s="634"/>
      <c r="K848" s="635"/>
      <c r="L848" s="635"/>
      <c r="M848" s="636"/>
      <c r="N848" s="634"/>
      <c r="O848" s="634"/>
    </row>
    <row r="849">
      <c r="A849" s="92"/>
      <c r="C849" s="637"/>
      <c r="D849" s="293"/>
      <c r="E849" s="293"/>
      <c r="F849" s="293"/>
      <c r="G849" s="293"/>
      <c r="J849" s="634"/>
      <c r="K849" s="635"/>
      <c r="L849" s="635"/>
      <c r="M849" s="636"/>
      <c r="N849" s="634"/>
      <c r="O849" s="634"/>
    </row>
    <row r="850">
      <c r="A850" s="92"/>
      <c r="C850" s="637"/>
      <c r="D850" s="293"/>
      <c r="E850" s="293"/>
      <c r="F850" s="293"/>
      <c r="G850" s="293"/>
      <c r="J850" s="634"/>
      <c r="K850" s="635"/>
      <c r="L850" s="635"/>
      <c r="M850" s="636"/>
      <c r="N850" s="634"/>
      <c r="O850" s="634"/>
    </row>
    <row r="851">
      <c r="A851" s="92"/>
      <c r="C851" s="637"/>
      <c r="D851" s="293"/>
      <c r="E851" s="293"/>
      <c r="F851" s="293"/>
      <c r="G851" s="293"/>
      <c r="J851" s="634"/>
      <c r="K851" s="635"/>
      <c r="L851" s="635"/>
      <c r="M851" s="636"/>
      <c r="N851" s="634"/>
      <c r="O851" s="634"/>
    </row>
    <row r="852">
      <c r="A852" s="92"/>
      <c r="C852" s="637"/>
      <c r="D852" s="293"/>
      <c r="E852" s="293"/>
      <c r="F852" s="293"/>
      <c r="G852" s="293"/>
      <c r="J852" s="634"/>
      <c r="K852" s="635"/>
      <c r="L852" s="635"/>
      <c r="M852" s="636"/>
      <c r="N852" s="634"/>
      <c r="O852" s="634"/>
    </row>
    <row r="853">
      <c r="A853" s="92"/>
      <c r="C853" s="637"/>
      <c r="D853" s="293"/>
      <c r="E853" s="293"/>
      <c r="F853" s="293"/>
      <c r="G853" s="293"/>
      <c r="J853" s="634"/>
      <c r="K853" s="635"/>
      <c r="L853" s="635"/>
      <c r="M853" s="636"/>
      <c r="N853" s="634"/>
      <c r="O853" s="634"/>
    </row>
    <row r="854">
      <c r="A854" s="92"/>
      <c r="C854" s="637"/>
      <c r="D854" s="293"/>
      <c r="E854" s="293"/>
      <c r="F854" s="293"/>
      <c r="G854" s="293"/>
      <c r="J854" s="634"/>
      <c r="K854" s="635"/>
      <c r="L854" s="635"/>
      <c r="M854" s="636"/>
      <c r="N854" s="634"/>
      <c r="O854" s="634"/>
    </row>
    <row r="855">
      <c r="A855" s="92"/>
      <c r="C855" s="637"/>
      <c r="D855" s="293"/>
      <c r="E855" s="293"/>
      <c r="F855" s="293"/>
      <c r="G855" s="293"/>
      <c r="J855" s="634"/>
      <c r="K855" s="635"/>
      <c r="L855" s="635"/>
      <c r="M855" s="636"/>
      <c r="N855" s="634"/>
      <c r="O855" s="634"/>
    </row>
    <row r="856">
      <c r="A856" s="92"/>
      <c r="C856" s="637"/>
      <c r="D856" s="293"/>
      <c r="E856" s="293"/>
      <c r="F856" s="293"/>
      <c r="G856" s="293"/>
      <c r="J856" s="634"/>
      <c r="K856" s="635"/>
      <c r="L856" s="635"/>
      <c r="M856" s="636"/>
      <c r="N856" s="634"/>
      <c r="O856" s="634"/>
    </row>
    <row r="857">
      <c r="A857" s="92"/>
      <c r="C857" s="637"/>
      <c r="D857" s="293"/>
      <c r="E857" s="293"/>
      <c r="F857" s="293"/>
      <c r="G857" s="293"/>
      <c r="J857" s="634"/>
      <c r="K857" s="635"/>
      <c r="L857" s="635"/>
      <c r="M857" s="636"/>
      <c r="N857" s="634"/>
      <c r="O857" s="634"/>
    </row>
    <row r="858">
      <c r="A858" s="92"/>
      <c r="C858" s="637"/>
      <c r="D858" s="293"/>
      <c r="E858" s="293"/>
      <c r="F858" s="293"/>
      <c r="G858" s="293"/>
      <c r="J858" s="634"/>
      <c r="K858" s="635"/>
      <c r="L858" s="635"/>
      <c r="M858" s="636"/>
      <c r="N858" s="634"/>
      <c r="O858" s="634"/>
    </row>
    <row r="859">
      <c r="A859" s="92"/>
      <c r="C859" s="637"/>
      <c r="D859" s="293"/>
      <c r="E859" s="293"/>
      <c r="F859" s="293"/>
      <c r="G859" s="293"/>
      <c r="J859" s="634"/>
      <c r="K859" s="635"/>
      <c r="L859" s="635"/>
      <c r="M859" s="636"/>
      <c r="N859" s="634"/>
      <c r="O859" s="634"/>
    </row>
    <row r="860">
      <c r="A860" s="92"/>
      <c r="C860" s="637"/>
      <c r="D860" s="293"/>
      <c r="E860" s="293"/>
      <c r="F860" s="293"/>
      <c r="G860" s="293"/>
      <c r="J860" s="634"/>
      <c r="K860" s="635"/>
      <c r="L860" s="635"/>
      <c r="M860" s="636"/>
      <c r="N860" s="634"/>
      <c r="O860" s="634"/>
    </row>
    <row r="861">
      <c r="A861" s="92"/>
      <c r="C861" s="637"/>
      <c r="D861" s="293"/>
      <c r="E861" s="293"/>
      <c r="F861" s="293"/>
      <c r="G861" s="293"/>
      <c r="J861" s="634"/>
      <c r="K861" s="635"/>
      <c r="L861" s="635"/>
      <c r="M861" s="636"/>
      <c r="N861" s="634"/>
      <c r="O861" s="634"/>
    </row>
    <row r="862">
      <c r="A862" s="92"/>
      <c r="C862" s="637"/>
      <c r="D862" s="293"/>
      <c r="E862" s="293"/>
      <c r="F862" s="293"/>
      <c r="G862" s="293"/>
      <c r="J862" s="634"/>
      <c r="K862" s="635"/>
      <c r="L862" s="635"/>
      <c r="M862" s="636"/>
      <c r="N862" s="634"/>
      <c r="O862" s="634"/>
    </row>
    <row r="863">
      <c r="A863" s="92"/>
      <c r="C863" s="637"/>
      <c r="D863" s="293"/>
      <c r="E863" s="293"/>
      <c r="F863" s="293"/>
      <c r="G863" s="293"/>
      <c r="J863" s="634"/>
      <c r="K863" s="635"/>
      <c r="L863" s="635"/>
      <c r="M863" s="636"/>
      <c r="N863" s="634"/>
      <c r="O863" s="634"/>
    </row>
    <row r="864">
      <c r="A864" s="92"/>
      <c r="C864" s="637"/>
      <c r="D864" s="293"/>
      <c r="E864" s="293"/>
      <c r="F864" s="293"/>
      <c r="G864" s="293"/>
      <c r="J864" s="634"/>
      <c r="K864" s="635"/>
      <c r="L864" s="635"/>
      <c r="M864" s="636"/>
      <c r="N864" s="634"/>
      <c r="O864" s="634"/>
    </row>
    <row r="865">
      <c r="A865" s="92"/>
      <c r="C865" s="637"/>
      <c r="D865" s="293"/>
      <c r="E865" s="293"/>
      <c r="F865" s="293"/>
      <c r="G865" s="293"/>
      <c r="J865" s="634"/>
      <c r="K865" s="635"/>
      <c r="L865" s="635"/>
      <c r="M865" s="636"/>
      <c r="N865" s="634"/>
      <c r="O865" s="634"/>
    </row>
    <row r="866">
      <c r="A866" s="92"/>
      <c r="C866" s="637"/>
      <c r="D866" s="293"/>
      <c r="E866" s="293"/>
      <c r="F866" s="293"/>
      <c r="G866" s="293"/>
      <c r="J866" s="634"/>
      <c r="K866" s="635"/>
      <c r="L866" s="635"/>
      <c r="M866" s="636"/>
      <c r="N866" s="634"/>
      <c r="O866" s="634"/>
    </row>
    <row r="867">
      <c r="A867" s="92"/>
      <c r="C867" s="637"/>
      <c r="D867" s="293"/>
      <c r="E867" s="293"/>
      <c r="F867" s="293"/>
      <c r="G867" s="293"/>
      <c r="J867" s="634"/>
      <c r="K867" s="635"/>
      <c r="L867" s="635"/>
      <c r="M867" s="636"/>
      <c r="N867" s="634"/>
      <c r="O867" s="634"/>
    </row>
    <row r="868">
      <c r="A868" s="92"/>
      <c r="C868" s="637"/>
      <c r="D868" s="293"/>
      <c r="E868" s="293"/>
      <c r="F868" s="293"/>
      <c r="G868" s="293"/>
      <c r="J868" s="634"/>
      <c r="K868" s="635"/>
      <c r="L868" s="635"/>
      <c r="M868" s="636"/>
      <c r="N868" s="634"/>
      <c r="O868" s="634"/>
    </row>
    <row r="869">
      <c r="A869" s="92"/>
      <c r="C869" s="637"/>
      <c r="D869" s="293"/>
      <c r="E869" s="293"/>
      <c r="F869" s="293"/>
      <c r="G869" s="293"/>
      <c r="J869" s="634"/>
      <c r="K869" s="635"/>
      <c r="L869" s="635"/>
      <c r="M869" s="636"/>
      <c r="N869" s="634"/>
      <c r="O869" s="634"/>
    </row>
    <row r="870">
      <c r="A870" s="92"/>
      <c r="C870" s="637"/>
      <c r="D870" s="293"/>
      <c r="E870" s="293"/>
      <c r="F870" s="293"/>
      <c r="G870" s="293"/>
      <c r="J870" s="634"/>
      <c r="K870" s="635"/>
      <c r="L870" s="635"/>
      <c r="M870" s="636"/>
      <c r="N870" s="634"/>
      <c r="O870" s="634"/>
    </row>
    <row r="871">
      <c r="A871" s="92"/>
      <c r="C871" s="637"/>
      <c r="D871" s="293"/>
      <c r="E871" s="293"/>
      <c r="F871" s="293"/>
      <c r="G871" s="293"/>
      <c r="J871" s="634"/>
      <c r="K871" s="635"/>
      <c r="L871" s="635"/>
      <c r="M871" s="636"/>
      <c r="N871" s="634"/>
      <c r="O871" s="634"/>
    </row>
    <row r="872">
      <c r="A872" s="92"/>
      <c r="C872" s="637"/>
      <c r="D872" s="293"/>
      <c r="E872" s="293"/>
      <c r="F872" s="293"/>
      <c r="G872" s="293"/>
      <c r="J872" s="634"/>
      <c r="K872" s="635"/>
      <c r="L872" s="635"/>
      <c r="M872" s="636"/>
      <c r="N872" s="634"/>
      <c r="O872" s="634"/>
    </row>
    <row r="873">
      <c r="A873" s="92"/>
      <c r="C873" s="637"/>
      <c r="D873" s="293"/>
      <c r="E873" s="293"/>
      <c r="F873" s="293"/>
      <c r="G873" s="293"/>
      <c r="J873" s="634"/>
      <c r="K873" s="635"/>
      <c r="L873" s="635"/>
      <c r="M873" s="636"/>
      <c r="N873" s="634"/>
      <c r="O873" s="634"/>
    </row>
    <row r="874">
      <c r="A874" s="92"/>
      <c r="C874" s="637"/>
      <c r="D874" s="293"/>
      <c r="E874" s="293"/>
      <c r="F874" s="293"/>
      <c r="G874" s="293"/>
      <c r="J874" s="634"/>
      <c r="K874" s="635"/>
      <c r="L874" s="635"/>
      <c r="M874" s="636"/>
      <c r="N874" s="634"/>
      <c r="O874" s="634"/>
    </row>
    <row r="875">
      <c r="A875" s="92"/>
      <c r="C875" s="637"/>
      <c r="D875" s="293"/>
      <c r="E875" s="293"/>
      <c r="F875" s="293"/>
      <c r="G875" s="293"/>
      <c r="J875" s="634"/>
      <c r="K875" s="635"/>
      <c r="L875" s="635"/>
      <c r="M875" s="636"/>
      <c r="N875" s="634"/>
      <c r="O875" s="634"/>
    </row>
    <row r="876">
      <c r="A876" s="92"/>
      <c r="C876" s="637"/>
      <c r="D876" s="293"/>
      <c r="E876" s="293"/>
      <c r="F876" s="293"/>
      <c r="G876" s="293"/>
      <c r="J876" s="634"/>
      <c r="K876" s="635"/>
      <c r="L876" s="635"/>
      <c r="M876" s="636"/>
      <c r="N876" s="634"/>
      <c r="O876" s="634"/>
    </row>
    <row r="877">
      <c r="A877" s="92"/>
      <c r="C877" s="637"/>
      <c r="D877" s="293"/>
      <c r="E877" s="293"/>
      <c r="F877" s="293"/>
      <c r="G877" s="293"/>
      <c r="J877" s="634"/>
      <c r="K877" s="635"/>
      <c r="L877" s="635"/>
      <c r="M877" s="636"/>
      <c r="N877" s="634"/>
      <c r="O877" s="634"/>
    </row>
    <row r="878">
      <c r="A878" s="92"/>
      <c r="C878" s="637"/>
      <c r="D878" s="293"/>
      <c r="E878" s="293"/>
      <c r="F878" s="293"/>
      <c r="G878" s="293"/>
      <c r="J878" s="634"/>
      <c r="K878" s="635"/>
      <c r="L878" s="635"/>
      <c r="M878" s="636"/>
      <c r="N878" s="634"/>
      <c r="O878" s="634"/>
    </row>
    <row r="879">
      <c r="A879" s="92"/>
      <c r="C879" s="637"/>
      <c r="D879" s="293"/>
      <c r="E879" s="293"/>
      <c r="F879" s="293"/>
      <c r="G879" s="293"/>
      <c r="J879" s="634"/>
      <c r="K879" s="635"/>
      <c r="L879" s="635"/>
      <c r="M879" s="636"/>
      <c r="N879" s="634"/>
      <c r="O879" s="634"/>
    </row>
    <row r="880">
      <c r="A880" s="92"/>
      <c r="C880" s="637"/>
      <c r="D880" s="293"/>
      <c r="E880" s="293"/>
      <c r="F880" s="293"/>
      <c r="G880" s="293"/>
      <c r="J880" s="634"/>
      <c r="K880" s="635"/>
      <c r="L880" s="635"/>
      <c r="M880" s="636"/>
      <c r="N880" s="634"/>
      <c r="O880" s="634"/>
    </row>
    <row r="881">
      <c r="A881" s="92"/>
      <c r="C881" s="637"/>
      <c r="D881" s="293"/>
      <c r="E881" s="293"/>
      <c r="F881" s="293"/>
      <c r="G881" s="293"/>
      <c r="J881" s="634"/>
      <c r="K881" s="635"/>
      <c r="L881" s="635"/>
      <c r="M881" s="636"/>
      <c r="N881" s="634"/>
      <c r="O881" s="634"/>
    </row>
    <row r="882">
      <c r="A882" s="92"/>
      <c r="C882" s="637"/>
      <c r="D882" s="293"/>
      <c r="E882" s="293"/>
      <c r="F882" s="293"/>
      <c r="G882" s="293"/>
      <c r="J882" s="634"/>
      <c r="K882" s="635"/>
      <c r="L882" s="635"/>
      <c r="M882" s="636"/>
      <c r="N882" s="634"/>
      <c r="O882" s="634"/>
    </row>
    <row r="883">
      <c r="A883" s="92"/>
      <c r="C883" s="637"/>
      <c r="D883" s="293"/>
      <c r="E883" s="293"/>
      <c r="F883" s="293"/>
      <c r="G883" s="293"/>
      <c r="J883" s="634"/>
      <c r="K883" s="635"/>
      <c r="L883" s="635"/>
      <c r="M883" s="636"/>
      <c r="N883" s="634"/>
      <c r="O883" s="634"/>
    </row>
    <row r="884">
      <c r="A884" s="92"/>
      <c r="C884" s="637"/>
      <c r="D884" s="293"/>
      <c r="E884" s="293"/>
      <c r="F884" s="293"/>
      <c r="G884" s="293"/>
      <c r="J884" s="634"/>
      <c r="K884" s="635"/>
      <c r="L884" s="635"/>
      <c r="M884" s="636"/>
      <c r="N884" s="634"/>
      <c r="O884" s="634"/>
    </row>
    <row r="885">
      <c r="A885" s="92"/>
      <c r="C885" s="637"/>
      <c r="D885" s="293"/>
      <c r="E885" s="293"/>
      <c r="F885" s="293"/>
      <c r="G885" s="293"/>
      <c r="J885" s="634"/>
      <c r="K885" s="635"/>
      <c r="L885" s="635"/>
      <c r="M885" s="636"/>
      <c r="N885" s="634"/>
      <c r="O885" s="634"/>
    </row>
    <row r="886">
      <c r="A886" s="92"/>
      <c r="C886" s="637"/>
      <c r="D886" s="293"/>
      <c r="E886" s="293"/>
      <c r="F886" s="293"/>
      <c r="G886" s="293"/>
      <c r="J886" s="634"/>
      <c r="K886" s="635"/>
      <c r="L886" s="635"/>
      <c r="M886" s="636"/>
      <c r="N886" s="634"/>
      <c r="O886" s="634"/>
    </row>
    <row r="887">
      <c r="A887" s="92"/>
      <c r="C887" s="637"/>
      <c r="D887" s="293"/>
      <c r="E887" s="293"/>
      <c r="F887" s="293"/>
      <c r="G887" s="293"/>
      <c r="J887" s="634"/>
      <c r="K887" s="635"/>
      <c r="L887" s="635"/>
      <c r="M887" s="636"/>
      <c r="N887" s="634"/>
      <c r="O887" s="634"/>
    </row>
    <row r="888">
      <c r="A888" s="92"/>
      <c r="C888" s="637"/>
      <c r="D888" s="293"/>
      <c r="E888" s="293"/>
      <c r="F888" s="293"/>
      <c r="G888" s="293"/>
      <c r="J888" s="634"/>
      <c r="K888" s="635"/>
      <c r="L888" s="635"/>
      <c r="M888" s="636"/>
      <c r="N888" s="634"/>
      <c r="O888" s="634"/>
    </row>
    <row r="889">
      <c r="A889" s="92"/>
      <c r="C889" s="637"/>
      <c r="D889" s="293"/>
      <c r="E889" s="293"/>
      <c r="F889" s="293"/>
      <c r="G889" s="293"/>
      <c r="J889" s="634"/>
      <c r="K889" s="635"/>
      <c r="L889" s="635"/>
      <c r="M889" s="636"/>
      <c r="N889" s="634"/>
      <c r="O889" s="634"/>
    </row>
    <row r="890">
      <c r="A890" s="92"/>
      <c r="C890" s="637"/>
      <c r="D890" s="293"/>
      <c r="E890" s="293"/>
      <c r="F890" s="293"/>
      <c r="G890" s="293"/>
      <c r="J890" s="634"/>
      <c r="K890" s="635"/>
      <c r="L890" s="635"/>
      <c r="M890" s="636"/>
      <c r="N890" s="634"/>
      <c r="O890" s="634"/>
    </row>
    <row r="891">
      <c r="A891" s="92"/>
      <c r="C891" s="637"/>
      <c r="D891" s="293"/>
      <c r="E891" s="293"/>
      <c r="F891" s="293"/>
      <c r="G891" s="293"/>
      <c r="J891" s="634"/>
      <c r="K891" s="635"/>
      <c r="L891" s="635"/>
      <c r="M891" s="636"/>
      <c r="N891" s="634"/>
      <c r="O891" s="634"/>
    </row>
    <row r="892">
      <c r="A892" s="92"/>
      <c r="C892" s="637"/>
      <c r="D892" s="293"/>
      <c r="E892" s="293"/>
      <c r="F892" s="293"/>
      <c r="G892" s="293"/>
      <c r="J892" s="634"/>
      <c r="K892" s="635"/>
      <c r="L892" s="635"/>
      <c r="M892" s="636"/>
      <c r="N892" s="634"/>
      <c r="O892" s="634"/>
    </row>
    <row r="893">
      <c r="A893" s="92"/>
      <c r="C893" s="637"/>
      <c r="D893" s="293"/>
      <c r="E893" s="293"/>
      <c r="F893" s="293"/>
      <c r="G893" s="293"/>
      <c r="J893" s="634"/>
      <c r="K893" s="635"/>
      <c r="L893" s="635"/>
      <c r="M893" s="636"/>
      <c r="N893" s="634"/>
      <c r="O893" s="634"/>
    </row>
    <row r="894">
      <c r="A894" s="92"/>
      <c r="C894" s="637"/>
      <c r="D894" s="293"/>
      <c r="E894" s="293"/>
      <c r="F894" s="293"/>
      <c r="G894" s="293"/>
      <c r="J894" s="634"/>
      <c r="K894" s="635"/>
      <c r="L894" s="635"/>
      <c r="M894" s="636"/>
      <c r="N894" s="634"/>
      <c r="O894" s="634"/>
    </row>
    <row r="895">
      <c r="A895" s="92"/>
      <c r="C895" s="637"/>
      <c r="D895" s="293"/>
      <c r="E895" s="293"/>
      <c r="F895" s="293"/>
      <c r="G895" s="293"/>
      <c r="J895" s="634"/>
      <c r="K895" s="635"/>
      <c r="L895" s="635"/>
      <c r="M895" s="636"/>
      <c r="N895" s="634"/>
      <c r="O895" s="634"/>
    </row>
    <row r="896">
      <c r="A896" s="92"/>
      <c r="C896" s="637"/>
      <c r="D896" s="293"/>
      <c r="E896" s="293"/>
      <c r="F896" s="293"/>
      <c r="G896" s="293"/>
      <c r="J896" s="634"/>
      <c r="K896" s="635"/>
      <c r="L896" s="635"/>
      <c r="M896" s="636"/>
      <c r="N896" s="634"/>
      <c r="O896" s="634"/>
    </row>
    <row r="897">
      <c r="A897" s="92"/>
      <c r="C897" s="637"/>
      <c r="D897" s="293"/>
      <c r="E897" s="293"/>
      <c r="F897" s="293"/>
      <c r="G897" s="293"/>
      <c r="J897" s="634"/>
      <c r="K897" s="635"/>
      <c r="L897" s="635"/>
      <c r="M897" s="636"/>
      <c r="N897" s="634"/>
      <c r="O897" s="634"/>
    </row>
    <row r="898">
      <c r="A898" s="92"/>
      <c r="C898" s="637"/>
      <c r="D898" s="293"/>
      <c r="E898" s="293"/>
      <c r="F898" s="293"/>
      <c r="G898" s="293"/>
      <c r="J898" s="634"/>
      <c r="K898" s="635"/>
      <c r="L898" s="635"/>
      <c r="M898" s="636"/>
      <c r="N898" s="634"/>
      <c r="O898" s="634"/>
    </row>
    <row r="899">
      <c r="A899" s="92"/>
      <c r="C899" s="637"/>
      <c r="D899" s="293"/>
      <c r="E899" s="293"/>
      <c r="F899" s="293"/>
      <c r="G899" s="293"/>
      <c r="J899" s="634"/>
      <c r="K899" s="635"/>
      <c r="L899" s="635"/>
      <c r="M899" s="636"/>
      <c r="N899" s="634"/>
      <c r="O899" s="634"/>
    </row>
    <row r="900">
      <c r="A900" s="92"/>
      <c r="C900" s="637"/>
      <c r="D900" s="293"/>
      <c r="E900" s="293"/>
      <c r="F900" s="293"/>
      <c r="G900" s="293"/>
      <c r="J900" s="634"/>
      <c r="K900" s="635"/>
      <c r="L900" s="635"/>
      <c r="M900" s="636"/>
      <c r="N900" s="634"/>
      <c r="O900" s="634"/>
    </row>
    <row r="901">
      <c r="A901" s="92"/>
      <c r="C901" s="637"/>
      <c r="D901" s="293"/>
      <c r="E901" s="293"/>
      <c r="F901" s="293"/>
      <c r="G901" s="293"/>
      <c r="J901" s="634"/>
      <c r="K901" s="635"/>
      <c r="L901" s="635"/>
      <c r="M901" s="636"/>
      <c r="N901" s="634"/>
      <c r="O901" s="634"/>
    </row>
    <row r="902">
      <c r="A902" s="92"/>
      <c r="C902" s="637"/>
      <c r="D902" s="293"/>
      <c r="E902" s="293"/>
      <c r="F902" s="293"/>
      <c r="G902" s="293"/>
      <c r="J902" s="634"/>
      <c r="K902" s="635"/>
      <c r="L902" s="635"/>
      <c r="M902" s="636"/>
      <c r="N902" s="634"/>
      <c r="O902" s="634"/>
    </row>
    <row r="903">
      <c r="A903" s="92"/>
      <c r="C903" s="637"/>
      <c r="D903" s="293"/>
      <c r="E903" s="293"/>
      <c r="F903" s="293"/>
      <c r="G903" s="293"/>
      <c r="J903" s="634"/>
      <c r="K903" s="635"/>
      <c r="L903" s="635"/>
      <c r="M903" s="636"/>
      <c r="N903" s="634"/>
      <c r="O903" s="634"/>
    </row>
    <row r="904">
      <c r="A904" s="92"/>
      <c r="C904" s="637"/>
      <c r="D904" s="293"/>
      <c r="E904" s="293"/>
      <c r="F904" s="293"/>
      <c r="G904" s="293"/>
      <c r="J904" s="634"/>
      <c r="K904" s="635"/>
      <c r="L904" s="635"/>
      <c r="M904" s="636"/>
      <c r="N904" s="634"/>
      <c r="O904" s="634"/>
    </row>
    <row r="905">
      <c r="A905" s="92"/>
      <c r="C905" s="637"/>
      <c r="D905" s="293"/>
      <c r="E905" s="293"/>
      <c r="F905" s="293"/>
      <c r="G905" s="293"/>
      <c r="J905" s="634"/>
      <c r="K905" s="635"/>
      <c r="L905" s="635"/>
      <c r="M905" s="636"/>
      <c r="N905" s="634"/>
      <c r="O905" s="634"/>
    </row>
    <row r="906">
      <c r="A906" s="92"/>
      <c r="C906" s="637"/>
      <c r="D906" s="293"/>
      <c r="E906" s="293"/>
      <c r="F906" s="293"/>
      <c r="G906" s="293"/>
      <c r="J906" s="634"/>
      <c r="K906" s="635"/>
      <c r="L906" s="635"/>
      <c r="M906" s="636"/>
      <c r="N906" s="634"/>
      <c r="O906" s="634"/>
    </row>
    <row r="907">
      <c r="A907" s="92"/>
      <c r="C907" s="637"/>
      <c r="D907" s="293"/>
      <c r="E907" s="293"/>
      <c r="F907" s="293"/>
      <c r="G907" s="293"/>
      <c r="J907" s="634"/>
      <c r="K907" s="635"/>
      <c r="L907" s="635"/>
      <c r="M907" s="636"/>
      <c r="N907" s="634"/>
      <c r="O907" s="634"/>
    </row>
    <row r="908">
      <c r="A908" s="92"/>
      <c r="C908" s="637"/>
      <c r="D908" s="293"/>
      <c r="E908" s="293"/>
      <c r="F908" s="293"/>
      <c r="G908" s="293"/>
      <c r="J908" s="634"/>
      <c r="K908" s="635"/>
      <c r="L908" s="635"/>
      <c r="M908" s="636"/>
      <c r="N908" s="634"/>
      <c r="O908" s="634"/>
    </row>
    <row r="909">
      <c r="A909" s="92"/>
      <c r="C909" s="637"/>
      <c r="D909" s="293"/>
      <c r="E909" s="293"/>
      <c r="F909" s="293"/>
      <c r="G909" s="293"/>
      <c r="J909" s="634"/>
      <c r="K909" s="635"/>
      <c r="L909" s="635"/>
      <c r="M909" s="636"/>
      <c r="N909" s="634"/>
      <c r="O909" s="634"/>
    </row>
    <row r="910">
      <c r="A910" s="92"/>
      <c r="C910" s="637"/>
      <c r="D910" s="293"/>
      <c r="E910" s="293"/>
      <c r="F910" s="293"/>
      <c r="G910" s="293"/>
      <c r="J910" s="634"/>
      <c r="K910" s="635"/>
      <c r="L910" s="635"/>
      <c r="M910" s="636"/>
      <c r="N910" s="634"/>
      <c r="O910" s="634"/>
    </row>
    <row r="911">
      <c r="A911" s="92"/>
      <c r="C911" s="637"/>
      <c r="D911" s="293"/>
      <c r="E911" s="293"/>
      <c r="F911" s="293"/>
      <c r="G911" s="293"/>
      <c r="J911" s="634"/>
      <c r="K911" s="635"/>
      <c r="L911" s="635"/>
      <c r="M911" s="636"/>
      <c r="N911" s="634"/>
      <c r="O911" s="634"/>
    </row>
    <row r="912">
      <c r="A912" s="92"/>
      <c r="C912" s="637"/>
      <c r="D912" s="293"/>
      <c r="E912" s="293"/>
      <c r="F912" s="293"/>
      <c r="G912" s="293"/>
      <c r="J912" s="634"/>
      <c r="K912" s="635"/>
      <c r="L912" s="635"/>
      <c r="M912" s="636"/>
      <c r="N912" s="634"/>
      <c r="O912" s="634"/>
    </row>
    <row r="913">
      <c r="A913" s="92"/>
      <c r="C913" s="637"/>
      <c r="D913" s="293"/>
      <c r="E913" s="293"/>
      <c r="F913" s="293"/>
      <c r="G913" s="293"/>
      <c r="J913" s="634"/>
      <c r="K913" s="635"/>
      <c r="L913" s="635"/>
      <c r="M913" s="636"/>
      <c r="N913" s="634"/>
      <c r="O913" s="634"/>
    </row>
    <row r="914">
      <c r="A914" s="92"/>
      <c r="C914" s="637"/>
      <c r="D914" s="293"/>
      <c r="E914" s="293"/>
      <c r="F914" s="293"/>
      <c r="G914" s="293"/>
      <c r="J914" s="634"/>
      <c r="K914" s="635"/>
      <c r="L914" s="635"/>
      <c r="M914" s="636"/>
      <c r="N914" s="634"/>
      <c r="O914" s="634"/>
    </row>
    <row r="915">
      <c r="A915" s="92"/>
      <c r="C915" s="637"/>
      <c r="D915" s="293"/>
      <c r="E915" s="293"/>
      <c r="F915" s="293"/>
      <c r="G915" s="293"/>
      <c r="J915" s="634"/>
      <c r="K915" s="635"/>
      <c r="L915" s="635"/>
      <c r="M915" s="636"/>
      <c r="N915" s="634"/>
      <c r="O915" s="634"/>
    </row>
    <row r="916">
      <c r="A916" s="92"/>
      <c r="C916" s="637"/>
      <c r="D916" s="293"/>
      <c r="E916" s="293"/>
      <c r="F916" s="293"/>
      <c r="G916" s="293"/>
      <c r="J916" s="634"/>
      <c r="K916" s="635"/>
      <c r="L916" s="635"/>
      <c r="M916" s="636"/>
      <c r="N916" s="634"/>
      <c r="O916" s="634"/>
    </row>
    <row r="917">
      <c r="A917" s="92"/>
      <c r="C917" s="637"/>
      <c r="D917" s="293"/>
      <c r="E917" s="293"/>
      <c r="F917" s="293"/>
      <c r="G917" s="293"/>
      <c r="J917" s="634"/>
      <c r="K917" s="635"/>
      <c r="L917" s="635"/>
      <c r="M917" s="636"/>
      <c r="N917" s="634"/>
      <c r="O917" s="634"/>
    </row>
    <row r="918">
      <c r="A918" s="92"/>
      <c r="C918" s="637"/>
      <c r="D918" s="293"/>
      <c r="E918" s="293"/>
      <c r="F918" s="293"/>
      <c r="G918" s="293"/>
      <c r="J918" s="634"/>
      <c r="K918" s="635"/>
      <c r="L918" s="635"/>
      <c r="M918" s="636"/>
      <c r="N918" s="634"/>
      <c r="O918" s="634"/>
    </row>
    <row r="919">
      <c r="A919" s="92"/>
      <c r="C919" s="637"/>
      <c r="D919" s="293"/>
      <c r="E919" s="293"/>
      <c r="F919" s="293"/>
      <c r="G919" s="293"/>
      <c r="J919" s="634"/>
      <c r="K919" s="635"/>
      <c r="L919" s="635"/>
      <c r="M919" s="636"/>
      <c r="N919" s="634"/>
      <c r="O919" s="634"/>
    </row>
    <row r="920">
      <c r="A920" s="92"/>
      <c r="C920" s="637"/>
      <c r="D920" s="293"/>
      <c r="E920" s="293"/>
      <c r="F920" s="293"/>
      <c r="G920" s="293"/>
      <c r="J920" s="634"/>
      <c r="K920" s="635"/>
      <c r="L920" s="635"/>
      <c r="M920" s="636"/>
      <c r="N920" s="634"/>
      <c r="O920" s="634"/>
    </row>
    <row r="921">
      <c r="A921" s="92"/>
      <c r="C921" s="637"/>
      <c r="D921" s="293"/>
      <c r="E921" s="293"/>
      <c r="F921" s="293"/>
      <c r="G921" s="293"/>
      <c r="J921" s="634"/>
      <c r="K921" s="635"/>
      <c r="L921" s="635"/>
      <c r="M921" s="636"/>
      <c r="N921" s="634"/>
      <c r="O921" s="634"/>
    </row>
    <row r="922">
      <c r="A922" s="92"/>
      <c r="C922" s="637"/>
      <c r="D922" s="293"/>
      <c r="E922" s="293"/>
      <c r="F922" s="293"/>
      <c r="G922" s="293"/>
      <c r="J922" s="634"/>
      <c r="K922" s="635"/>
      <c r="L922" s="635"/>
      <c r="M922" s="636"/>
      <c r="N922" s="634"/>
      <c r="O922" s="634"/>
    </row>
    <row r="923">
      <c r="A923" s="92"/>
      <c r="C923" s="637"/>
      <c r="D923" s="293"/>
      <c r="E923" s="293"/>
      <c r="F923" s="293"/>
      <c r="G923" s="293"/>
      <c r="J923" s="634"/>
      <c r="K923" s="635"/>
      <c r="L923" s="635"/>
      <c r="M923" s="636"/>
      <c r="N923" s="634"/>
      <c r="O923" s="634"/>
    </row>
    <row r="924">
      <c r="A924" s="92"/>
      <c r="C924" s="637"/>
      <c r="D924" s="293"/>
      <c r="E924" s="293"/>
      <c r="F924" s="293"/>
      <c r="G924" s="293"/>
      <c r="J924" s="634"/>
      <c r="K924" s="635"/>
      <c r="L924" s="635"/>
      <c r="M924" s="636"/>
      <c r="N924" s="634"/>
      <c r="O924" s="634"/>
    </row>
    <row r="925">
      <c r="A925" s="92"/>
      <c r="C925" s="637"/>
      <c r="D925" s="293"/>
      <c r="E925" s="293"/>
      <c r="F925" s="293"/>
      <c r="G925" s="293"/>
      <c r="J925" s="634"/>
      <c r="K925" s="635"/>
      <c r="L925" s="635"/>
      <c r="M925" s="636"/>
      <c r="N925" s="634"/>
      <c r="O925" s="634"/>
    </row>
    <row r="926">
      <c r="A926" s="92"/>
      <c r="C926" s="637"/>
      <c r="D926" s="293"/>
      <c r="E926" s="293"/>
      <c r="F926" s="293"/>
      <c r="G926" s="293"/>
      <c r="J926" s="634"/>
      <c r="K926" s="635"/>
      <c r="L926" s="635"/>
      <c r="M926" s="636"/>
      <c r="N926" s="634"/>
      <c r="O926" s="634"/>
    </row>
    <row r="927">
      <c r="A927" s="92"/>
      <c r="C927" s="637"/>
      <c r="D927" s="293"/>
      <c r="E927" s="293"/>
      <c r="F927" s="293"/>
      <c r="G927" s="293"/>
      <c r="J927" s="634"/>
      <c r="K927" s="635"/>
      <c r="L927" s="635"/>
      <c r="M927" s="636"/>
      <c r="N927" s="634"/>
      <c r="O927" s="634"/>
    </row>
    <row r="928">
      <c r="A928" s="92"/>
      <c r="C928" s="637"/>
      <c r="D928" s="293"/>
      <c r="E928" s="293"/>
      <c r="F928" s="293"/>
      <c r="G928" s="293"/>
      <c r="J928" s="634"/>
      <c r="K928" s="635"/>
      <c r="L928" s="635"/>
      <c r="M928" s="636"/>
      <c r="N928" s="634"/>
      <c r="O928" s="634"/>
    </row>
    <row r="929">
      <c r="A929" s="92"/>
      <c r="C929" s="637"/>
      <c r="D929" s="293"/>
      <c r="E929" s="293"/>
      <c r="F929" s="293"/>
      <c r="G929" s="293"/>
      <c r="J929" s="634"/>
      <c r="K929" s="635"/>
      <c r="L929" s="635"/>
      <c r="M929" s="636"/>
      <c r="N929" s="634"/>
      <c r="O929" s="634"/>
    </row>
    <row r="930">
      <c r="A930" s="92"/>
      <c r="C930" s="637"/>
      <c r="D930" s="293"/>
      <c r="E930" s="293"/>
      <c r="F930" s="293"/>
      <c r="G930" s="293"/>
      <c r="J930" s="634"/>
      <c r="K930" s="635"/>
      <c r="L930" s="635"/>
      <c r="M930" s="636"/>
      <c r="N930" s="634"/>
      <c r="O930" s="634"/>
    </row>
    <row r="931">
      <c r="A931" s="92"/>
      <c r="C931" s="637"/>
      <c r="D931" s="293"/>
      <c r="E931" s="293"/>
      <c r="F931" s="293"/>
      <c r="G931" s="293"/>
      <c r="J931" s="634"/>
      <c r="K931" s="635"/>
      <c r="L931" s="635"/>
      <c r="M931" s="636"/>
      <c r="N931" s="634"/>
      <c r="O931" s="634"/>
    </row>
    <row r="932">
      <c r="A932" s="92"/>
      <c r="C932" s="637"/>
      <c r="D932" s="293"/>
      <c r="E932" s="293"/>
      <c r="F932" s="293"/>
      <c r="G932" s="293"/>
      <c r="J932" s="634"/>
      <c r="K932" s="635"/>
      <c r="L932" s="635"/>
      <c r="M932" s="636"/>
      <c r="N932" s="634"/>
      <c r="O932" s="634"/>
    </row>
    <row r="933">
      <c r="A933" s="92"/>
      <c r="C933" s="637"/>
      <c r="D933" s="293"/>
      <c r="E933" s="293"/>
      <c r="F933" s="293"/>
      <c r="G933" s="293"/>
      <c r="J933" s="634"/>
      <c r="K933" s="635"/>
      <c r="L933" s="635"/>
      <c r="M933" s="636"/>
      <c r="N933" s="634"/>
      <c r="O933" s="634"/>
    </row>
    <row r="934">
      <c r="A934" s="92"/>
      <c r="C934" s="637"/>
      <c r="D934" s="293"/>
      <c r="E934" s="293"/>
      <c r="F934" s="293"/>
      <c r="G934" s="293"/>
      <c r="J934" s="634"/>
      <c r="K934" s="635"/>
      <c r="L934" s="635"/>
      <c r="M934" s="636"/>
      <c r="N934" s="634"/>
      <c r="O934" s="634"/>
    </row>
    <row r="935">
      <c r="A935" s="92"/>
      <c r="C935" s="637"/>
      <c r="D935" s="293"/>
      <c r="E935" s="293"/>
      <c r="F935" s="293"/>
      <c r="G935" s="293"/>
      <c r="J935" s="634"/>
      <c r="K935" s="635"/>
      <c r="L935" s="635"/>
      <c r="M935" s="636"/>
      <c r="N935" s="634"/>
      <c r="O935" s="634"/>
    </row>
    <row r="936">
      <c r="A936" s="92"/>
      <c r="C936" s="637"/>
      <c r="D936" s="293"/>
      <c r="E936" s="293"/>
      <c r="F936" s="293"/>
      <c r="G936" s="293"/>
      <c r="J936" s="634"/>
      <c r="K936" s="635"/>
      <c r="L936" s="635"/>
      <c r="M936" s="636"/>
      <c r="N936" s="634"/>
      <c r="O936" s="634"/>
    </row>
    <row r="937">
      <c r="A937" s="92"/>
      <c r="C937" s="637"/>
      <c r="D937" s="293"/>
      <c r="E937" s="293"/>
      <c r="F937" s="293"/>
      <c r="G937" s="293"/>
      <c r="J937" s="634"/>
      <c r="K937" s="635"/>
      <c r="L937" s="635"/>
      <c r="M937" s="636"/>
      <c r="N937" s="634"/>
      <c r="O937" s="634"/>
    </row>
    <row r="938">
      <c r="A938" s="92"/>
      <c r="C938" s="637"/>
      <c r="D938" s="293"/>
      <c r="E938" s="293"/>
      <c r="F938" s="293"/>
      <c r="G938" s="293"/>
      <c r="J938" s="634"/>
      <c r="K938" s="635"/>
      <c r="L938" s="635"/>
      <c r="M938" s="636"/>
      <c r="N938" s="634"/>
      <c r="O938" s="634"/>
    </row>
    <row r="939">
      <c r="A939" s="92"/>
      <c r="C939" s="637"/>
      <c r="D939" s="293"/>
      <c r="E939" s="293"/>
      <c r="F939" s="293"/>
      <c r="G939" s="293"/>
      <c r="J939" s="634"/>
      <c r="K939" s="635"/>
      <c r="L939" s="635"/>
      <c r="M939" s="636"/>
      <c r="N939" s="634"/>
      <c r="O939" s="634"/>
    </row>
    <row r="940">
      <c r="A940" s="92"/>
      <c r="C940" s="637"/>
      <c r="D940" s="293"/>
      <c r="E940" s="293"/>
      <c r="F940" s="293"/>
      <c r="G940" s="293"/>
      <c r="J940" s="634"/>
      <c r="K940" s="635"/>
      <c r="L940" s="635"/>
      <c r="M940" s="636"/>
      <c r="N940" s="634"/>
      <c r="O940" s="634"/>
    </row>
    <row r="941">
      <c r="A941" s="92"/>
      <c r="C941" s="637"/>
      <c r="D941" s="293"/>
      <c r="E941" s="293"/>
      <c r="F941" s="293"/>
      <c r="G941" s="293"/>
      <c r="J941" s="634"/>
      <c r="K941" s="635"/>
      <c r="L941" s="635"/>
      <c r="M941" s="636"/>
      <c r="N941" s="634"/>
      <c r="O941" s="634"/>
    </row>
    <row r="942">
      <c r="A942" s="92"/>
      <c r="C942" s="637"/>
      <c r="D942" s="293"/>
      <c r="E942" s="293"/>
      <c r="F942" s="293"/>
      <c r="G942" s="293"/>
      <c r="J942" s="634"/>
      <c r="K942" s="635"/>
      <c r="L942" s="635"/>
      <c r="M942" s="636"/>
      <c r="N942" s="634"/>
      <c r="O942" s="634"/>
    </row>
    <row r="943">
      <c r="A943" s="92"/>
      <c r="C943" s="637"/>
      <c r="D943" s="293"/>
      <c r="E943" s="293"/>
      <c r="F943" s="293"/>
      <c r="G943" s="293"/>
      <c r="J943" s="634"/>
      <c r="K943" s="635"/>
      <c r="L943" s="635"/>
      <c r="M943" s="636"/>
      <c r="N943" s="634"/>
      <c r="O943" s="634"/>
    </row>
    <row r="944">
      <c r="A944" s="92"/>
      <c r="C944" s="637"/>
      <c r="D944" s="293"/>
      <c r="E944" s="293"/>
      <c r="F944" s="293"/>
      <c r="G944" s="293"/>
      <c r="J944" s="634"/>
      <c r="K944" s="635"/>
      <c r="L944" s="635"/>
      <c r="M944" s="636"/>
      <c r="N944" s="634"/>
      <c r="O944" s="634"/>
    </row>
    <row r="945">
      <c r="A945" s="92"/>
      <c r="C945" s="637"/>
      <c r="D945" s="293"/>
      <c r="E945" s="293"/>
      <c r="F945" s="293"/>
      <c r="G945" s="293"/>
      <c r="J945" s="634"/>
      <c r="K945" s="635"/>
      <c r="L945" s="635"/>
      <c r="M945" s="636"/>
      <c r="N945" s="634"/>
      <c r="O945" s="634"/>
    </row>
    <row r="946">
      <c r="A946" s="92"/>
      <c r="C946" s="637"/>
      <c r="D946" s="293"/>
      <c r="E946" s="293"/>
      <c r="F946" s="293"/>
      <c r="G946" s="293"/>
      <c r="J946" s="634"/>
      <c r="K946" s="635"/>
      <c r="L946" s="635"/>
      <c r="M946" s="636"/>
      <c r="N946" s="634"/>
      <c r="O946" s="634"/>
    </row>
    <row r="947">
      <c r="A947" s="92"/>
      <c r="C947" s="637"/>
      <c r="D947" s="293"/>
      <c r="E947" s="293"/>
      <c r="F947" s="293"/>
      <c r="G947" s="293"/>
      <c r="J947" s="634"/>
      <c r="K947" s="635"/>
      <c r="L947" s="635"/>
      <c r="M947" s="636"/>
      <c r="N947" s="634"/>
      <c r="O947" s="634"/>
    </row>
    <row r="948">
      <c r="A948" s="92"/>
      <c r="C948" s="637"/>
      <c r="D948" s="293"/>
      <c r="E948" s="293"/>
      <c r="F948" s="293"/>
      <c r="G948" s="293"/>
      <c r="J948" s="634"/>
      <c r="K948" s="635"/>
      <c r="L948" s="635"/>
      <c r="M948" s="636"/>
      <c r="N948" s="634"/>
      <c r="O948" s="634"/>
    </row>
    <row r="949">
      <c r="A949" s="92"/>
      <c r="C949" s="637"/>
      <c r="D949" s="293"/>
      <c r="E949" s="293"/>
      <c r="F949" s="293"/>
      <c r="G949" s="293"/>
      <c r="J949" s="634"/>
      <c r="K949" s="635"/>
      <c r="L949" s="635"/>
      <c r="M949" s="636"/>
      <c r="N949" s="634"/>
      <c r="O949" s="634"/>
    </row>
    <row r="950">
      <c r="A950" s="92"/>
      <c r="C950" s="637"/>
      <c r="D950" s="293"/>
      <c r="E950" s="293"/>
      <c r="F950" s="293"/>
      <c r="G950" s="293"/>
      <c r="J950" s="634"/>
      <c r="K950" s="635"/>
      <c r="L950" s="635"/>
      <c r="M950" s="636"/>
      <c r="N950" s="634"/>
      <c r="O950" s="634"/>
    </row>
    <row r="951">
      <c r="A951" s="92"/>
      <c r="C951" s="637"/>
      <c r="D951" s="293"/>
      <c r="E951" s="293"/>
      <c r="F951" s="293"/>
      <c r="G951" s="293"/>
      <c r="J951" s="634"/>
      <c r="K951" s="635"/>
      <c r="L951" s="635"/>
      <c r="M951" s="636"/>
      <c r="N951" s="634"/>
      <c r="O951" s="634"/>
    </row>
    <row r="952">
      <c r="A952" s="92"/>
      <c r="C952" s="637"/>
      <c r="D952" s="293"/>
      <c r="E952" s="293"/>
      <c r="F952" s="293"/>
      <c r="G952" s="293"/>
      <c r="J952" s="634"/>
      <c r="K952" s="635"/>
      <c r="L952" s="635"/>
      <c r="M952" s="636"/>
      <c r="N952" s="634"/>
      <c r="O952" s="634"/>
    </row>
    <row r="953">
      <c r="A953" s="92"/>
      <c r="C953" s="637"/>
      <c r="D953" s="293"/>
      <c r="E953" s="293"/>
      <c r="F953" s="293"/>
      <c r="G953" s="293"/>
      <c r="J953" s="634"/>
      <c r="K953" s="635"/>
      <c r="L953" s="635"/>
      <c r="M953" s="636"/>
      <c r="N953" s="634"/>
      <c r="O953" s="634"/>
    </row>
    <row r="954">
      <c r="A954" s="92"/>
      <c r="C954" s="637"/>
      <c r="D954" s="293"/>
      <c r="E954" s="293"/>
      <c r="F954" s="293"/>
      <c r="G954" s="293"/>
      <c r="J954" s="634"/>
      <c r="K954" s="635"/>
      <c r="L954" s="635"/>
      <c r="M954" s="636"/>
      <c r="N954" s="634"/>
      <c r="O954" s="634"/>
    </row>
    <row r="955">
      <c r="A955" s="92"/>
      <c r="C955" s="637"/>
      <c r="D955" s="293"/>
      <c r="E955" s="293"/>
      <c r="F955" s="293"/>
      <c r="G955" s="293"/>
      <c r="J955" s="634"/>
      <c r="K955" s="635"/>
      <c r="L955" s="635"/>
      <c r="M955" s="636"/>
      <c r="N955" s="634"/>
      <c r="O955" s="634"/>
    </row>
    <row r="956">
      <c r="A956" s="92"/>
      <c r="C956" s="637"/>
      <c r="D956" s="293"/>
      <c r="E956" s="293"/>
      <c r="F956" s="293"/>
      <c r="G956" s="293"/>
      <c r="J956" s="634"/>
      <c r="K956" s="635"/>
      <c r="L956" s="635"/>
      <c r="M956" s="636"/>
      <c r="N956" s="634"/>
      <c r="O956" s="634"/>
    </row>
    <row r="957">
      <c r="A957" s="92"/>
      <c r="C957" s="637"/>
      <c r="D957" s="293"/>
      <c r="E957" s="293"/>
      <c r="F957" s="293"/>
      <c r="G957" s="293"/>
      <c r="J957" s="634"/>
      <c r="K957" s="635"/>
      <c r="L957" s="635"/>
      <c r="M957" s="636"/>
      <c r="N957" s="634"/>
      <c r="O957" s="634"/>
    </row>
    <row r="958">
      <c r="A958" s="92"/>
      <c r="C958" s="637"/>
      <c r="D958" s="293"/>
      <c r="E958" s="293"/>
      <c r="F958" s="293"/>
      <c r="G958" s="293"/>
      <c r="J958" s="634"/>
      <c r="K958" s="635"/>
      <c r="L958" s="635"/>
      <c r="M958" s="636"/>
      <c r="N958" s="634"/>
      <c r="O958" s="634"/>
    </row>
    <row r="959">
      <c r="A959" s="92"/>
      <c r="C959" s="637"/>
      <c r="D959" s="293"/>
      <c r="E959" s="293"/>
      <c r="F959" s="293"/>
      <c r="G959" s="293"/>
      <c r="J959" s="634"/>
      <c r="K959" s="635"/>
      <c r="L959" s="635"/>
      <c r="M959" s="636"/>
      <c r="N959" s="634"/>
      <c r="O959" s="634"/>
    </row>
    <row r="960">
      <c r="A960" s="92"/>
      <c r="C960" s="637"/>
      <c r="D960" s="293"/>
      <c r="E960" s="293"/>
      <c r="F960" s="293"/>
      <c r="G960" s="293"/>
      <c r="J960" s="634"/>
      <c r="K960" s="635"/>
      <c r="L960" s="635"/>
      <c r="M960" s="636"/>
      <c r="N960" s="634"/>
      <c r="O960" s="634"/>
    </row>
    <row r="961">
      <c r="A961" s="92"/>
      <c r="C961" s="637"/>
      <c r="D961" s="293"/>
      <c r="E961" s="293"/>
      <c r="F961" s="293"/>
      <c r="G961" s="293"/>
      <c r="J961" s="634"/>
      <c r="K961" s="635"/>
      <c r="L961" s="635"/>
      <c r="M961" s="636"/>
      <c r="N961" s="634"/>
      <c r="O961" s="634"/>
    </row>
    <row r="962">
      <c r="A962" s="92"/>
      <c r="C962" s="637"/>
      <c r="D962" s="293"/>
      <c r="E962" s="293"/>
      <c r="F962" s="293"/>
      <c r="G962" s="293"/>
      <c r="J962" s="634"/>
      <c r="K962" s="635"/>
      <c r="L962" s="635"/>
      <c r="M962" s="636"/>
      <c r="N962" s="634"/>
      <c r="O962" s="634"/>
    </row>
    <row r="963">
      <c r="A963" s="92"/>
      <c r="C963" s="637"/>
      <c r="D963" s="293"/>
      <c r="E963" s="293"/>
      <c r="F963" s="293"/>
      <c r="G963" s="293"/>
      <c r="J963" s="634"/>
      <c r="K963" s="635"/>
      <c r="L963" s="635"/>
      <c r="M963" s="636"/>
      <c r="N963" s="634"/>
      <c r="O963" s="634"/>
    </row>
    <row r="964">
      <c r="A964" s="92"/>
      <c r="C964" s="637"/>
      <c r="D964" s="293"/>
      <c r="E964" s="293"/>
      <c r="F964" s="293"/>
      <c r="G964" s="293"/>
      <c r="J964" s="634"/>
      <c r="K964" s="635"/>
      <c r="L964" s="635"/>
      <c r="M964" s="636"/>
      <c r="N964" s="634"/>
      <c r="O964" s="634"/>
    </row>
    <row r="965">
      <c r="A965" s="92"/>
      <c r="C965" s="637"/>
      <c r="D965" s="293"/>
      <c r="E965" s="293"/>
      <c r="F965" s="293"/>
      <c r="G965" s="293"/>
      <c r="J965" s="634"/>
      <c r="K965" s="635"/>
      <c r="L965" s="635"/>
      <c r="M965" s="636"/>
      <c r="N965" s="634"/>
      <c r="O965" s="634"/>
    </row>
    <row r="966">
      <c r="A966" s="92"/>
      <c r="C966" s="637"/>
      <c r="D966" s="293"/>
      <c r="E966" s="293"/>
      <c r="F966" s="293"/>
      <c r="G966" s="293"/>
      <c r="J966" s="634"/>
      <c r="K966" s="635"/>
      <c r="L966" s="635"/>
      <c r="M966" s="636"/>
      <c r="N966" s="634"/>
      <c r="O966" s="634"/>
    </row>
    <row r="967">
      <c r="A967" s="92"/>
      <c r="C967" s="637"/>
      <c r="D967" s="293"/>
      <c r="E967" s="293"/>
      <c r="F967" s="293"/>
      <c r="G967" s="293"/>
      <c r="J967" s="634"/>
      <c r="K967" s="635"/>
      <c r="L967" s="635"/>
      <c r="M967" s="636"/>
      <c r="N967" s="634"/>
      <c r="O967" s="634"/>
    </row>
    <row r="968">
      <c r="A968" s="92"/>
      <c r="C968" s="637"/>
      <c r="D968" s="293"/>
      <c r="E968" s="293"/>
      <c r="F968" s="293"/>
      <c r="G968" s="293"/>
      <c r="J968" s="634"/>
      <c r="K968" s="635"/>
      <c r="L968" s="635"/>
      <c r="M968" s="636"/>
      <c r="N968" s="634"/>
      <c r="O968" s="634"/>
    </row>
    <row r="969">
      <c r="A969" s="92"/>
      <c r="C969" s="637"/>
      <c r="D969" s="293"/>
      <c r="E969" s="293"/>
      <c r="F969" s="293"/>
      <c r="G969" s="293"/>
      <c r="J969" s="634"/>
      <c r="K969" s="635"/>
      <c r="L969" s="635"/>
      <c r="M969" s="636"/>
      <c r="N969" s="634"/>
      <c r="O969" s="634"/>
    </row>
    <row r="970">
      <c r="A970" s="92"/>
      <c r="C970" s="637"/>
      <c r="D970" s="293"/>
      <c r="E970" s="293"/>
      <c r="F970" s="293"/>
      <c r="G970" s="293"/>
      <c r="J970" s="634"/>
      <c r="K970" s="635"/>
      <c r="L970" s="635"/>
      <c r="M970" s="636"/>
      <c r="N970" s="634"/>
      <c r="O970" s="634"/>
    </row>
    <row r="971">
      <c r="A971" s="92"/>
      <c r="C971" s="637"/>
      <c r="D971" s="293"/>
      <c r="E971" s="293"/>
      <c r="F971" s="293"/>
      <c r="G971" s="293"/>
      <c r="J971" s="634"/>
      <c r="K971" s="635"/>
      <c r="L971" s="635"/>
      <c r="M971" s="636"/>
      <c r="N971" s="634"/>
      <c r="O971" s="634"/>
    </row>
    <row r="972">
      <c r="A972" s="92"/>
      <c r="C972" s="637"/>
      <c r="D972" s="293"/>
      <c r="E972" s="293"/>
      <c r="F972" s="293"/>
      <c r="G972" s="293"/>
      <c r="J972" s="634"/>
      <c r="K972" s="635"/>
      <c r="L972" s="635"/>
      <c r="M972" s="636"/>
      <c r="N972" s="634"/>
      <c r="O972" s="634"/>
    </row>
    <row r="973">
      <c r="A973" s="92"/>
      <c r="C973" s="637"/>
      <c r="D973" s="293"/>
      <c r="E973" s="293"/>
      <c r="F973" s="293"/>
      <c r="G973" s="293"/>
      <c r="J973" s="634"/>
      <c r="K973" s="635"/>
      <c r="L973" s="635"/>
      <c r="M973" s="636"/>
      <c r="N973" s="634"/>
      <c r="O973" s="634"/>
    </row>
    <row r="974">
      <c r="A974" s="92"/>
      <c r="C974" s="637"/>
      <c r="D974" s="293"/>
      <c r="E974" s="293"/>
      <c r="F974" s="293"/>
      <c r="G974" s="293"/>
      <c r="J974" s="634"/>
      <c r="K974" s="635"/>
      <c r="L974" s="635"/>
      <c r="M974" s="636"/>
      <c r="N974" s="634"/>
      <c r="O974" s="634"/>
    </row>
    <row r="975">
      <c r="A975" s="92"/>
      <c r="C975" s="637"/>
      <c r="D975" s="293"/>
      <c r="E975" s="293"/>
      <c r="F975" s="293"/>
      <c r="G975" s="293"/>
      <c r="J975" s="634"/>
      <c r="K975" s="635"/>
      <c r="L975" s="635"/>
      <c r="M975" s="636"/>
      <c r="N975" s="634"/>
      <c r="O975" s="634"/>
    </row>
    <row r="976">
      <c r="A976" s="92"/>
      <c r="C976" s="637"/>
      <c r="D976" s="293"/>
      <c r="E976" s="293"/>
      <c r="F976" s="293"/>
      <c r="G976" s="293"/>
      <c r="J976" s="634"/>
      <c r="K976" s="635"/>
      <c r="L976" s="635"/>
      <c r="M976" s="636"/>
      <c r="N976" s="634"/>
      <c r="O976" s="634"/>
    </row>
    <row r="977">
      <c r="A977" s="92"/>
      <c r="C977" s="637"/>
      <c r="D977" s="293"/>
      <c r="E977" s="293"/>
      <c r="F977" s="293"/>
      <c r="G977" s="293"/>
      <c r="J977" s="634"/>
      <c r="K977" s="635"/>
      <c r="L977" s="635"/>
      <c r="M977" s="636"/>
      <c r="N977" s="634"/>
      <c r="O977" s="634"/>
    </row>
    <row r="978">
      <c r="A978" s="92"/>
      <c r="C978" s="637"/>
      <c r="D978" s="293"/>
      <c r="E978" s="293"/>
      <c r="F978" s="293"/>
      <c r="G978" s="293"/>
      <c r="J978" s="634"/>
      <c r="K978" s="635"/>
      <c r="L978" s="635"/>
      <c r="M978" s="636"/>
      <c r="N978" s="634"/>
      <c r="O978" s="634"/>
    </row>
    <row r="979">
      <c r="A979" s="92"/>
      <c r="C979" s="637"/>
      <c r="D979" s="293"/>
      <c r="E979" s="293"/>
      <c r="F979" s="293"/>
      <c r="G979" s="293"/>
      <c r="J979" s="634"/>
      <c r="K979" s="635"/>
      <c r="L979" s="635"/>
      <c r="M979" s="636"/>
      <c r="N979" s="634"/>
      <c r="O979" s="634"/>
    </row>
    <row r="980">
      <c r="A980" s="92"/>
      <c r="C980" s="637"/>
      <c r="D980" s="293"/>
      <c r="E980" s="293"/>
      <c r="F980" s="293"/>
      <c r="G980" s="293"/>
      <c r="J980" s="634"/>
      <c r="K980" s="635"/>
      <c r="L980" s="635"/>
      <c r="M980" s="636"/>
      <c r="N980" s="634"/>
      <c r="O980" s="634"/>
    </row>
    <row r="981">
      <c r="A981" s="92"/>
      <c r="C981" s="637"/>
      <c r="D981" s="293"/>
      <c r="E981" s="293"/>
      <c r="F981" s="293"/>
      <c r="G981" s="293"/>
      <c r="J981" s="634"/>
      <c r="K981" s="635"/>
      <c r="L981" s="635"/>
      <c r="M981" s="636"/>
      <c r="N981" s="634"/>
      <c r="O981" s="634"/>
    </row>
    <row r="982">
      <c r="A982" s="92"/>
      <c r="C982" s="637"/>
      <c r="D982" s="293"/>
      <c r="E982" s="293"/>
      <c r="F982" s="293"/>
      <c r="G982" s="293"/>
      <c r="J982" s="634"/>
      <c r="K982" s="635"/>
      <c r="L982" s="635"/>
      <c r="M982" s="636"/>
      <c r="N982" s="634"/>
      <c r="O982" s="634"/>
    </row>
    <row r="983">
      <c r="A983" s="92"/>
      <c r="C983" s="637"/>
      <c r="D983" s="293"/>
      <c r="E983" s="293"/>
      <c r="F983" s="293"/>
      <c r="G983" s="293"/>
      <c r="J983" s="634"/>
      <c r="K983" s="635"/>
      <c r="L983" s="635"/>
      <c r="M983" s="636"/>
      <c r="N983" s="634"/>
      <c r="O983" s="634"/>
    </row>
    <row r="984">
      <c r="A984" s="92"/>
      <c r="C984" s="637"/>
      <c r="D984" s="293"/>
      <c r="E984" s="293"/>
      <c r="F984" s="293"/>
      <c r="G984" s="293"/>
      <c r="J984" s="634"/>
      <c r="K984" s="635"/>
      <c r="L984" s="635"/>
      <c r="M984" s="636"/>
      <c r="N984" s="634"/>
      <c r="O984" s="634"/>
    </row>
    <row r="985">
      <c r="A985" s="92"/>
      <c r="C985" s="637"/>
      <c r="D985" s="293"/>
      <c r="E985" s="293"/>
      <c r="F985" s="293"/>
      <c r="G985" s="293"/>
      <c r="J985" s="634"/>
      <c r="K985" s="635"/>
      <c r="L985" s="635"/>
      <c r="M985" s="636"/>
      <c r="N985" s="634"/>
      <c r="O985" s="634"/>
    </row>
    <row r="986">
      <c r="A986" s="92"/>
      <c r="C986" s="637"/>
      <c r="D986" s="293"/>
      <c r="E986" s="293"/>
      <c r="F986" s="293"/>
      <c r="G986" s="293"/>
      <c r="J986" s="634"/>
      <c r="K986" s="635"/>
      <c r="L986" s="635"/>
      <c r="M986" s="636"/>
      <c r="N986" s="634"/>
      <c r="O986" s="634"/>
    </row>
    <row r="987">
      <c r="A987" s="92"/>
      <c r="C987" s="637"/>
      <c r="D987" s="293"/>
      <c r="E987" s="293"/>
      <c r="F987" s="293"/>
      <c r="G987" s="293"/>
      <c r="J987" s="634"/>
      <c r="K987" s="635"/>
      <c r="L987" s="635"/>
      <c r="M987" s="636"/>
      <c r="N987" s="634"/>
      <c r="O987" s="634"/>
    </row>
    <row r="988">
      <c r="A988" s="92"/>
      <c r="C988" s="637"/>
      <c r="D988" s="293"/>
      <c r="E988" s="293"/>
      <c r="F988" s="293"/>
      <c r="G988" s="293"/>
      <c r="J988" s="634"/>
      <c r="K988" s="635"/>
      <c r="L988" s="635"/>
      <c r="M988" s="636"/>
      <c r="N988" s="634"/>
      <c r="O988" s="634"/>
    </row>
    <row r="989">
      <c r="A989" s="92"/>
      <c r="C989" s="637"/>
      <c r="D989" s="293"/>
      <c r="E989" s="293"/>
      <c r="F989" s="293"/>
      <c r="G989" s="293"/>
      <c r="J989" s="634"/>
      <c r="K989" s="635"/>
      <c r="L989" s="635"/>
      <c r="M989" s="636"/>
      <c r="N989" s="634"/>
      <c r="O989" s="634"/>
    </row>
    <row r="990">
      <c r="A990" s="92"/>
      <c r="C990" s="637"/>
      <c r="D990" s="293"/>
      <c r="E990" s="293"/>
      <c r="F990" s="293"/>
      <c r="G990" s="293"/>
      <c r="J990" s="634"/>
      <c r="K990" s="635"/>
      <c r="L990" s="635"/>
      <c r="M990" s="636"/>
      <c r="N990" s="634"/>
      <c r="O990" s="634"/>
    </row>
    <row r="991">
      <c r="A991" s="92"/>
      <c r="C991" s="637"/>
      <c r="D991" s="293"/>
      <c r="E991" s="293"/>
      <c r="F991" s="293"/>
      <c r="G991" s="293"/>
      <c r="J991" s="634"/>
      <c r="K991" s="635"/>
      <c r="L991" s="635"/>
      <c r="M991" s="636"/>
      <c r="N991" s="634"/>
      <c r="O991" s="634"/>
    </row>
    <row r="992">
      <c r="A992" s="92"/>
      <c r="C992" s="637"/>
      <c r="D992" s="293"/>
      <c r="E992" s="293"/>
      <c r="F992" s="293"/>
      <c r="G992" s="293"/>
      <c r="J992" s="634"/>
      <c r="K992" s="635"/>
      <c r="L992" s="635"/>
      <c r="M992" s="636"/>
      <c r="N992" s="634"/>
      <c r="O992" s="634"/>
    </row>
    <row r="993">
      <c r="A993" s="92"/>
      <c r="C993" s="637"/>
      <c r="D993" s="293"/>
      <c r="E993" s="293"/>
      <c r="F993" s="293"/>
      <c r="G993" s="293"/>
      <c r="J993" s="634"/>
      <c r="K993" s="635"/>
      <c r="L993" s="635"/>
      <c r="M993" s="636"/>
      <c r="N993" s="634"/>
      <c r="O993" s="634"/>
    </row>
    <row r="994">
      <c r="A994" s="92"/>
      <c r="C994" s="637"/>
      <c r="D994" s="293"/>
      <c r="E994" s="293"/>
      <c r="F994" s="293"/>
      <c r="G994" s="293"/>
      <c r="J994" s="634"/>
      <c r="K994" s="635"/>
      <c r="L994" s="635"/>
      <c r="M994" s="636"/>
      <c r="N994" s="634"/>
      <c r="O994" s="634"/>
    </row>
    <row r="995">
      <c r="A995" s="92"/>
      <c r="C995" s="637"/>
      <c r="D995" s="293"/>
      <c r="E995" s="293"/>
      <c r="F995" s="293"/>
      <c r="G995" s="293"/>
      <c r="J995" s="634"/>
      <c r="K995" s="635"/>
      <c r="L995" s="635"/>
      <c r="M995" s="636"/>
      <c r="N995" s="634"/>
      <c r="O995" s="634"/>
    </row>
    <row r="996">
      <c r="A996" s="92"/>
      <c r="C996" s="637"/>
      <c r="D996" s="293"/>
      <c r="E996" s="293"/>
      <c r="F996" s="293"/>
      <c r="G996" s="293"/>
      <c r="J996" s="634"/>
      <c r="K996" s="635"/>
      <c r="L996" s="635"/>
      <c r="M996" s="636"/>
      <c r="N996" s="634"/>
      <c r="O996" s="634"/>
    </row>
    <row r="997">
      <c r="A997" s="92"/>
      <c r="C997" s="637"/>
      <c r="D997" s="293"/>
      <c r="E997" s="293"/>
      <c r="F997" s="293"/>
      <c r="G997" s="293"/>
      <c r="J997" s="634"/>
      <c r="K997" s="635"/>
      <c r="L997" s="635"/>
      <c r="M997" s="636"/>
      <c r="N997" s="634"/>
      <c r="O997" s="634"/>
    </row>
    <row r="998">
      <c r="A998" s="92"/>
      <c r="C998" s="637"/>
      <c r="D998" s="293"/>
      <c r="E998" s="293"/>
      <c r="F998" s="293"/>
      <c r="G998" s="293"/>
      <c r="J998" s="634"/>
      <c r="K998" s="635"/>
      <c r="L998" s="635"/>
      <c r="M998" s="636"/>
      <c r="N998" s="634"/>
      <c r="O998" s="634"/>
    </row>
    <row r="999">
      <c r="A999" s="92"/>
      <c r="C999" s="637"/>
      <c r="D999" s="293"/>
      <c r="E999" s="293"/>
      <c r="F999" s="293"/>
      <c r="G999" s="293"/>
      <c r="J999" s="634"/>
      <c r="K999" s="635"/>
      <c r="L999" s="635"/>
      <c r="M999" s="636"/>
      <c r="N999" s="634"/>
      <c r="O999" s="634"/>
    </row>
    <row r="1000">
      <c r="A1000" s="92"/>
      <c r="C1000" s="637"/>
      <c r="D1000" s="293"/>
      <c r="E1000" s="293"/>
      <c r="F1000" s="293"/>
      <c r="G1000" s="293"/>
      <c r="J1000" s="634"/>
      <c r="K1000" s="635"/>
      <c r="L1000" s="635"/>
      <c r="M1000" s="636"/>
      <c r="N1000" s="634"/>
      <c r="O1000" s="634"/>
    </row>
    <row r="1001">
      <c r="A1001" s="92"/>
      <c r="C1001" s="637"/>
      <c r="D1001" s="293"/>
      <c r="E1001" s="293"/>
      <c r="F1001" s="293"/>
      <c r="G1001" s="293"/>
      <c r="J1001" s="634"/>
      <c r="K1001" s="635"/>
      <c r="L1001" s="635"/>
      <c r="M1001" s="636"/>
      <c r="N1001" s="634"/>
      <c r="O1001" s="634"/>
    </row>
    <row r="1002">
      <c r="A1002" s="92"/>
      <c r="C1002" s="637"/>
      <c r="D1002" s="293"/>
      <c r="E1002" s="293"/>
      <c r="F1002" s="293"/>
      <c r="G1002" s="293"/>
      <c r="J1002" s="634"/>
      <c r="K1002" s="635"/>
      <c r="L1002" s="635"/>
      <c r="M1002" s="636"/>
      <c r="N1002" s="634"/>
      <c r="O1002" s="634"/>
    </row>
    <row r="1003">
      <c r="A1003" s="92"/>
      <c r="C1003" s="637"/>
      <c r="D1003" s="293"/>
      <c r="E1003" s="293"/>
      <c r="F1003" s="293"/>
      <c r="G1003" s="293"/>
      <c r="J1003" s="634"/>
      <c r="K1003" s="635"/>
      <c r="L1003" s="635"/>
      <c r="M1003" s="636"/>
      <c r="N1003" s="634"/>
      <c r="O1003" s="634"/>
    </row>
    <row r="1004">
      <c r="A1004" s="92"/>
      <c r="C1004" s="637"/>
      <c r="D1004" s="293"/>
      <c r="E1004" s="293"/>
      <c r="F1004" s="293"/>
      <c r="G1004" s="293"/>
      <c r="J1004" s="634"/>
      <c r="K1004" s="635"/>
      <c r="L1004" s="635"/>
      <c r="M1004" s="636"/>
      <c r="N1004" s="634"/>
      <c r="O1004" s="634"/>
    </row>
    <row r="1005">
      <c r="A1005" s="92"/>
      <c r="C1005" s="637"/>
      <c r="D1005" s="293"/>
      <c r="E1005" s="293"/>
      <c r="F1005" s="293"/>
      <c r="G1005" s="293"/>
      <c r="J1005" s="634"/>
      <c r="K1005" s="635"/>
      <c r="L1005" s="635"/>
      <c r="M1005" s="636"/>
      <c r="N1005" s="634"/>
      <c r="O1005" s="634"/>
    </row>
    <row r="1006">
      <c r="A1006" s="92"/>
      <c r="C1006" s="637"/>
      <c r="D1006" s="293"/>
      <c r="E1006" s="293"/>
      <c r="F1006" s="293"/>
      <c r="G1006" s="293"/>
      <c r="J1006" s="634"/>
      <c r="K1006" s="635"/>
      <c r="L1006" s="635"/>
      <c r="M1006" s="636"/>
      <c r="N1006" s="634"/>
      <c r="O1006" s="634"/>
    </row>
    <row r="1007">
      <c r="A1007" s="92"/>
      <c r="C1007" s="637"/>
      <c r="D1007" s="293"/>
      <c r="E1007" s="293"/>
      <c r="F1007" s="293"/>
      <c r="G1007" s="293"/>
      <c r="J1007" s="634"/>
      <c r="K1007" s="635"/>
      <c r="L1007" s="635"/>
      <c r="M1007" s="636"/>
      <c r="N1007" s="634"/>
      <c r="O1007" s="634"/>
    </row>
    <row r="1008">
      <c r="A1008" s="92"/>
      <c r="C1008" s="637"/>
      <c r="D1008" s="293"/>
      <c r="E1008" s="293"/>
      <c r="F1008" s="293"/>
      <c r="G1008" s="293"/>
      <c r="J1008" s="634"/>
      <c r="K1008" s="635"/>
      <c r="L1008" s="635"/>
      <c r="M1008" s="636"/>
      <c r="N1008" s="634"/>
      <c r="O1008" s="634"/>
    </row>
    <row r="1009">
      <c r="A1009" s="92"/>
      <c r="C1009" s="637"/>
      <c r="D1009" s="293"/>
      <c r="E1009" s="293"/>
      <c r="F1009" s="293"/>
      <c r="G1009" s="293"/>
      <c r="J1009" s="634"/>
      <c r="K1009" s="635"/>
      <c r="L1009" s="635"/>
      <c r="M1009" s="636"/>
      <c r="N1009" s="634"/>
      <c r="O1009" s="634"/>
    </row>
    <row r="1010">
      <c r="A1010" s="92"/>
      <c r="C1010" s="637"/>
      <c r="D1010" s="293"/>
      <c r="E1010" s="293"/>
      <c r="F1010" s="293"/>
      <c r="G1010" s="293"/>
      <c r="J1010" s="634"/>
      <c r="K1010" s="635"/>
      <c r="L1010" s="635"/>
      <c r="M1010" s="636"/>
      <c r="N1010" s="634"/>
      <c r="O1010" s="634"/>
    </row>
    <row r="1011">
      <c r="A1011" s="92"/>
      <c r="C1011" s="637"/>
      <c r="D1011" s="293"/>
      <c r="E1011" s="293"/>
      <c r="F1011" s="293"/>
      <c r="G1011" s="293"/>
      <c r="J1011" s="634"/>
      <c r="K1011" s="635"/>
      <c r="L1011" s="635"/>
      <c r="M1011" s="636"/>
      <c r="N1011" s="634"/>
      <c r="O1011" s="634"/>
    </row>
    <row r="1012">
      <c r="A1012" s="92"/>
      <c r="C1012" s="637"/>
      <c r="D1012" s="293"/>
      <c r="E1012" s="293"/>
      <c r="F1012" s="293"/>
      <c r="G1012" s="293"/>
      <c r="J1012" s="634"/>
      <c r="K1012" s="635"/>
      <c r="L1012" s="635"/>
      <c r="M1012" s="636"/>
      <c r="N1012" s="634"/>
      <c r="O1012" s="634"/>
    </row>
    <row r="1013">
      <c r="A1013" s="92"/>
      <c r="C1013" s="637"/>
      <c r="D1013" s="293"/>
      <c r="E1013" s="293"/>
      <c r="F1013" s="293"/>
      <c r="G1013" s="293"/>
      <c r="J1013" s="634"/>
      <c r="K1013" s="635"/>
      <c r="L1013" s="635"/>
      <c r="M1013" s="636"/>
      <c r="N1013" s="634"/>
      <c r="O1013" s="634"/>
    </row>
    <row r="1014">
      <c r="A1014" s="92"/>
      <c r="C1014" s="637"/>
      <c r="D1014" s="293"/>
      <c r="E1014" s="293"/>
      <c r="F1014" s="293"/>
      <c r="G1014" s="293"/>
      <c r="J1014" s="634"/>
      <c r="K1014" s="635"/>
      <c r="L1014" s="635"/>
      <c r="M1014" s="636"/>
      <c r="N1014" s="634"/>
      <c r="O1014" s="634"/>
    </row>
    <row r="1015">
      <c r="A1015" s="92"/>
      <c r="C1015" s="637"/>
      <c r="D1015" s="293"/>
      <c r="E1015" s="293"/>
      <c r="F1015" s="293"/>
      <c r="G1015" s="293"/>
      <c r="J1015" s="634"/>
      <c r="K1015" s="635"/>
      <c r="L1015" s="635"/>
      <c r="M1015" s="636"/>
      <c r="N1015" s="634"/>
      <c r="O1015" s="634"/>
    </row>
    <row r="1016">
      <c r="A1016" s="92"/>
      <c r="C1016" s="637"/>
      <c r="D1016" s="293"/>
      <c r="E1016" s="293"/>
      <c r="F1016" s="293"/>
      <c r="G1016" s="293"/>
      <c r="J1016" s="634"/>
      <c r="K1016" s="635"/>
      <c r="L1016" s="635"/>
      <c r="M1016" s="636"/>
      <c r="N1016" s="634"/>
      <c r="O1016" s="634"/>
    </row>
    <row r="1017">
      <c r="A1017" s="92"/>
      <c r="C1017" s="637"/>
      <c r="D1017" s="293"/>
      <c r="E1017" s="293"/>
      <c r="F1017" s="293"/>
      <c r="G1017" s="293"/>
      <c r="J1017" s="634"/>
      <c r="K1017" s="635"/>
      <c r="L1017" s="635"/>
      <c r="M1017" s="636"/>
      <c r="N1017" s="634"/>
      <c r="O1017" s="634"/>
    </row>
    <row r="1018">
      <c r="A1018" s="92"/>
      <c r="C1018" s="637"/>
      <c r="D1018" s="293"/>
      <c r="E1018" s="293"/>
      <c r="F1018" s="293"/>
      <c r="G1018" s="293"/>
      <c r="J1018" s="634"/>
      <c r="K1018" s="635"/>
      <c r="L1018" s="635"/>
      <c r="M1018" s="636"/>
      <c r="N1018" s="634"/>
      <c r="O1018" s="634"/>
    </row>
    <row r="1019">
      <c r="A1019" s="92"/>
      <c r="C1019" s="637"/>
      <c r="D1019" s="293"/>
      <c r="E1019" s="293"/>
      <c r="F1019" s="293"/>
      <c r="G1019" s="293"/>
      <c r="J1019" s="634"/>
      <c r="K1019" s="635"/>
      <c r="L1019" s="635"/>
      <c r="M1019" s="636"/>
      <c r="N1019" s="634"/>
      <c r="O1019" s="634"/>
    </row>
    <row r="1020">
      <c r="A1020" s="92"/>
      <c r="C1020" s="637"/>
      <c r="D1020" s="293"/>
      <c r="E1020" s="293"/>
      <c r="F1020" s="293"/>
      <c r="G1020" s="293"/>
      <c r="J1020" s="634"/>
      <c r="K1020" s="635"/>
      <c r="L1020" s="635"/>
      <c r="M1020" s="636"/>
      <c r="N1020" s="634"/>
      <c r="O1020" s="634"/>
    </row>
    <row r="1021">
      <c r="A1021" s="92"/>
      <c r="C1021" s="637"/>
      <c r="D1021" s="293"/>
      <c r="E1021" s="293"/>
      <c r="F1021" s="293"/>
      <c r="G1021" s="293"/>
      <c r="J1021" s="634"/>
      <c r="K1021" s="635"/>
      <c r="L1021" s="635"/>
      <c r="M1021" s="636"/>
      <c r="N1021" s="634"/>
      <c r="O1021" s="634"/>
    </row>
    <row r="1022">
      <c r="A1022" s="92"/>
      <c r="C1022" s="637"/>
      <c r="D1022" s="293"/>
      <c r="E1022" s="293"/>
      <c r="F1022" s="293"/>
      <c r="G1022" s="293"/>
      <c r="J1022" s="634"/>
      <c r="K1022" s="635"/>
      <c r="L1022" s="635"/>
      <c r="M1022" s="636"/>
      <c r="N1022" s="634"/>
      <c r="O1022" s="634"/>
    </row>
    <row r="1023">
      <c r="A1023" s="92"/>
      <c r="C1023" s="637"/>
      <c r="D1023" s="293"/>
      <c r="E1023" s="293"/>
      <c r="F1023" s="293"/>
      <c r="G1023" s="293"/>
      <c r="J1023" s="634"/>
      <c r="K1023" s="635"/>
      <c r="L1023" s="635"/>
      <c r="M1023" s="636"/>
      <c r="N1023" s="634"/>
      <c r="O1023" s="634"/>
    </row>
    <row r="1024">
      <c r="A1024" s="92"/>
      <c r="C1024" s="637"/>
      <c r="D1024" s="293"/>
      <c r="E1024" s="293"/>
      <c r="F1024" s="293"/>
      <c r="G1024" s="293"/>
      <c r="J1024" s="634"/>
      <c r="K1024" s="635"/>
      <c r="L1024" s="635"/>
      <c r="M1024" s="636"/>
      <c r="N1024" s="634"/>
      <c r="O1024" s="634"/>
    </row>
    <row r="1025">
      <c r="A1025" s="92"/>
      <c r="C1025" s="637"/>
      <c r="D1025" s="293"/>
      <c r="E1025" s="293"/>
      <c r="F1025" s="293"/>
      <c r="G1025" s="293"/>
      <c r="J1025" s="634"/>
      <c r="K1025" s="635"/>
      <c r="L1025" s="635"/>
      <c r="M1025" s="636"/>
      <c r="N1025" s="634"/>
      <c r="O1025" s="634"/>
    </row>
    <row r="1026">
      <c r="A1026" s="92"/>
      <c r="C1026" s="637"/>
      <c r="D1026" s="293"/>
      <c r="E1026" s="293"/>
      <c r="F1026" s="293"/>
      <c r="G1026" s="293"/>
      <c r="J1026" s="634"/>
      <c r="K1026" s="635"/>
      <c r="L1026" s="635"/>
      <c r="M1026" s="636"/>
      <c r="N1026" s="634"/>
      <c r="O1026" s="634"/>
    </row>
    <row r="1027">
      <c r="A1027" s="92"/>
      <c r="C1027" s="637"/>
      <c r="D1027" s="293"/>
      <c r="E1027" s="293"/>
      <c r="F1027" s="293"/>
      <c r="G1027" s="293"/>
      <c r="J1027" s="634"/>
      <c r="K1027" s="635"/>
      <c r="L1027" s="635"/>
      <c r="M1027" s="636"/>
      <c r="N1027" s="634"/>
      <c r="O1027" s="634"/>
    </row>
    <row r="1028">
      <c r="A1028" s="92"/>
      <c r="C1028" s="637"/>
      <c r="D1028" s="293"/>
      <c r="E1028" s="293"/>
      <c r="F1028" s="293"/>
      <c r="G1028" s="293"/>
      <c r="J1028" s="634"/>
      <c r="K1028" s="635"/>
      <c r="L1028" s="635"/>
      <c r="M1028" s="636"/>
      <c r="N1028" s="634"/>
      <c r="O1028" s="634"/>
    </row>
    <row r="1029">
      <c r="A1029" s="92"/>
      <c r="C1029" s="637"/>
      <c r="D1029" s="293"/>
      <c r="E1029" s="293"/>
      <c r="F1029" s="293"/>
      <c r="G1029" s="293"/>
      <c r="J1029" s="634"/>
      <c r="K1029" s="635"/>
      <c r="L1029" s="635"/>
      <c r="M1029" s="636"/>
      <c r="N1029" s="634"/>
      <c r="O1029" s="634"/>
    </row>
    <row r="1030">
      <c r="A1030" s="92"/>
      <c r="C1030" s="637"/>
      <c r="D1030" s="293"/>
      <c r="E1030" s="293"/>
      <c r="F1030" s="293"/>
      <c r="G1030" s="293"/>
      <c r="J1030" s="634"/>
      <c r="K1030" s="635"/>
      <c r="L1030" s="635"/>
      <c r="M1030" s="636"/>
      <c r="N1030" s="634"/>
      <c r="O1030" s="634"/>
    </row>
    <row r="1031">
      <c r="A1031" s="92"/>
      <c r="C1031" s="637"/>
      <c r="D1031" s="293"/>
      <c r="E1031" s="293"/>
      <c r="F1031" s="293"/>
      <c r="G1031" s="293"/>
      <c r="J1031" s="634"/>
      <c r="K1031" s="635"/>
      <c r="L1031" s="635"/>
      <c r="M1031" s="636"/>
      <c r="N1031" s="634"/>
      <c r="O1031" s="634"/>
    </row>
    <row r="1032">
      <c r="A1032" s="92"/>
      <c r="C1032" s="637"/>
      <c r="D1032" s="293"/>
      <c r="E1032" s="293"/>
      <c r="F1032" s="293"/>
      <c r="G1032" s="293"/>
      <c r="J1032" s="634"/>
      <c r="K1032" s="635"/>
      <c r="L1032" s="635"/>
      <c r="M1032" s="636"/>
      <c r="N1032" s="634"/>
      <c r="O1032" s="634"/>
    </row>
    <row r="1033">
      <c r="A1033" s="92"/>
      <c r="C1033" s="637"/>
      <c r="D1033" s="293"/>
      <c r="E1033" s="293"/>
      <c r="F1033" s="293"/>
      <c r="G1033" s="293"/>
      <c r="J1033" s="634"/>
      <c r="K1033" s="635"/>
      <c r="L1033" s="635"/>
      <c r="M1033" s="636"/>
      <c r="N1033" s="634"/>
      <c r="O1033" s="634"/>
    </row>
    <row r="1034">
      <c r="A1034" s="92"/>
      <c r="C1034" s="637"/>
      <c r="D1034" s="293"/>
      <c r="E1034" s="293"/>
      <c r="F1034" s="293"/>
      <c r="G1034" s="293"/>
      <c r="J1034" s="634"/>
      <c r="K1034" s="635"/>
      <c r="L1034" s="635"/>
      <c r="M1034" s="636"/>
      <c r="N1034" s="634"/>
      <c r="O1034" s="634"/>
    </row>
    <row r="1035">
      <c r="A1035" s="92"/>
      <c r="C1035" s="637"/>
      <c r="D1035" s="293"/>
      <c r="E1035" s="293"/>
      <c r="F1035" s="293"/>
      <c r="G1035" s="293"/>
      <c r="J1035" s="634"/>
      <c r="K1035" s="635"/>
      <c r="L1035" s="635"/>
      <c r="M1035" s="636"/>
      <c r="N1035" s="634"/>
      <c r="O1035" s="634"/>
    </row>
    <row r="1036">
      <c r="A1036" s="92"/>
      <c r="C1036" s="637"/>
      <c r="D1036" s="293"/>
      <c r="E1036" s="293"/>
      <c r="F1036" s="293"/>
      <c r="G1036" s="293"/>
      <c r="J1036" s="634"/>
      <c r="K1036" s="635"/>
      <c r="L1036" s="635"/>
      <c r="M1036" s="636"/>
      <c r="N1036" s="634"/>
      <c r="O1036" s="634"/>
    </row>
    <row r="1037">
      <c r="A1037" s="92"/>
      <c r="C1037" s="637"/>
      <c r="D1037" s="293"/>
      <c r="E1037" s="293"/>
      <c r="F1037" s="293"/>
      <c r="G1037" s="293"/>
      <c r="J1037" s="634"/>
      <c r="K1037" s="635"/>
      <c r="L1037" s="635"/>
      <c r="M1037" s="636"/>
      <c r="N1037" s="634"/>
      <c r="O1037" s="634"/>
    </row>
    <row r="1038">
      <c r="A1038" s="92"/>
      <c r="C1038" s="637"/>
      <c r="D1038" s="293"/>
      <c r="E1038" s="293"/>
      <c r="F1038" s="293"/>
      <c r="G1038" s="293"/>
      <c r="J1038" s="634"/>
      <c r="K1038" s="635"/>
      <c r="L1038" s="635"/>
      <c r="M1038" s="636"/>
      <c r="N1038" s="634"/>
      <c r="O1038" s="634"/>
    </row>
    <row r="1039">
      <c r="A1039" s="92"/>
      <c r="C1039" s="637"/>
      <c r="D1039" s="293"/>
      <c r="E1039" s="293"/>
      <c r="F1039" s="293"/>
      <c r="G1039" s="293"/>
      <c r="J1039" s="634"/>
      <c r="K1039" s="635"/>
      <c r="L1039" s="635"/>
      <c r="M1039" s="636"/>
      <c r="N1039" s="634"/>
      <c r="O1039" s="634"/>
    </row>
    <row r="1040">
      <c r="A1040" s="92"/>
      <c r="C1040" s="637"/>
      <c r="D1040" s="293"/>
      <c r="E1040" s="293"/>
      <c r="F1040" s="293"/>
      <c r="G1040" s="293"/>
      <c r="J1040" s="634"/>
      <c r="K1040" s="635"/>
      <c r="L1040" s="635"/>
      <c r="M1040" s="636"/>
      <c r="N1040" s="634"/>
      <c r="O1040" s="634"/>
    </row>
    <row r="1041">
      <c r="A1041" s="92"/>
      <c r="C1041" s="637"/>
      <c r="D1041" s="293"/>
      <c r="E1041" s="293"/>
      <c r="F1041" s="293"/>
      <c r="G1041" s="293"/>
      <c r="J1041" s="634"/>
      <c r="K1041" s="635"/>
      <c r="L1041" s="635"/>
      <c r="M1041" s="636"/>
      <c r="N1041" s="634"/>
      <c r="O1041" s="634"/>
    </row>
    <row r="1042">
      <c r="A1042" s="92"/>
      <c r="C1042" s="637"/>
      <c r="D1042" s="293"/>
      <c r="E1042" s="293"/>
      <c r="F1042" s="293"/>
      <c r="G1042" s="293"/>
      <c r="J1042" s="634"/>
      <c r="K1042" s="635"/>
      <c r="L1042" s="635"/>
      <c r="M1042" s="636"/>
      <c r="N1042" s="634"/>
      <c r="O1042" s="634"/>
    </row>
    <row r="1043">
      <c r="A1043" s="92"/>
      <c r="C1043" s="637"/>
      <c r="D1043" s="293"/>
      <c r="E1043" s="293"/>
      <c r="F1043" s="293"/>
      <c r="G1043" s="293"/>
      <c r="J1043" s="634"/>
      <c r="K1043" s="635"/>
      <c r="L1043" s="635"/>
      <c r="M1043" s="636"/>
      <c r="N1043" s="634"/>
      <c r="O1043" s="634"/>
    </row>
    <row r="1044">
      <c r="A1044" s="92"/>
      <c r="C1044" s="637"/>
      <c r="D1044" s="293"/>
      <c r="E1044" s="293"/>
      <c r="F1044" s="293"/>
      <c r="G1044" s="293"/>
      <c r="J1044" s="634"/>
      <c r="K1044" s="635"/>
      <c r="L1044" s="635"/>
      <c r="M1044" s="636"/>
      <c r="N1044" s="634"/>
      <c r="O1044" s="634"/>
    </row>
    <row r="1045">
      <c r="A1045" s="92"/>
      <c r="C1045" s="637"/>
      <c r="D1045" s="293"/>
      <c r="E1045" s="293"/>
      <c r="F1045" s="293"/>
      <c r="G1045" s="293"/>
      <c r="J1045" s="634"/>
      <c r="K1045" s="635"/>
      <c r="L1045" s="635"/>
      <c r="M1045" s="636"/>
      <c r="N1045" s="634"/>
      <c r="O1045" s="634"/>
    </row>
    <row r="1046">
      <c r="A1046" s="92"/>
      <c r="C1046" s="637"/>
      <c r="D1046" s="293"/>
      <c r="E1046" s="293"/>
      <c r="F1046" s="293"/>
      <c r="G1046" s="293"/>
      <c r="J1046" s="634"/>
      <c r="K1046" s="635"/>
      <c r="L1046" s="635"/>
      <c r="M1046" s="636"/>
      <c r="N1046" s="634"/>
      <c r="O1046" s="634"/>
    </row>
    <row r="1047">
      <c r="A1047" s="92"/>
      <c r="C1047" s="637"/>
      <c r="D1047" s="293"/>
      <c r="E1047" s="293"/>
      <c r="F1047" s="293"/>
      <c r="G1047" s="293"/>
      <c r="J1047" s="634"/>
      <c r="K1047" s="635"/>
      <c r="L1047" s="635"/>
      <c r="M1047" s="636"/>
      <c r="N1047" s="634"/>
      <c r="O1047" s="634"/>
    </row>
    <row r="1048">
      <c r="A1048" s="92"/>
      <c r="C1048" s="637"/>
      <c r="D1048" s="293"/>
      <c r="E1048" s="293"/>
      <c r="F1048" s="293"/>
      <c r="G1048" s="293"/>
      <c r="J1048" s="634"/>
      <c r="K1048" s="635"/>
      <c r="L1048" s="635"/>
      <c r="M1048" s="636"/>
      <c r="N1048" s="634"/>
      <c r="O1048" s="634"/>
    </row>
    <row r="1049">
      <c r="A1049" s="92"/>
      <c r="C1049" s="637"/>
      <c r="D1049" s="293"/>
      <c r="E1049" s="293"/>
      <c r="F1049" s="293"/>
      <c r="G1049" s="293"/>
      <c r="J1049" s="634"/>
      <c r="K1049" s="635"/>
      <c r="L1049" s="635"/>
      <c r="M1049" s="636"/>
      <c r="N1049" s="634"/>
      <c r="O1049" s="634"/>
    </row>
    <row r="1050">
      <c r="A1050" s="92"/>
      <c r="C1050" s="637"/>
      <c r="D1050" s="293"/>
      <c r="E1050" s="293"/>
      <c r="F1050" s="293"/>
      <c r="G1050" s="293"/>
      <c r="J1050" s="634"/>
      <c r="K1050" s="635"/>
      <c r="L1050" s="635"/>
      <c r="M1050" s="636"/>
      <c r="N1050" s="634"/>
      <c r="O1050" s="634"/>
    </row>
    <row r="1051">
      <c r="A1051" s="92"/>
      <c r="C1051" s="637"/>
      <c r="D1051" s="293"/>
      <c r="E1051" s="293"/>
      <c r="F1051" s="293"/>
      <c r="G1051" s="293"/>
      <c r="J1051" s="634"/>
      <c r="K1051" s="635"/>
      <c r="L1051" s="635"/>
      <c r="M1051" s="636"/>
      <c r="N1051" s="634"/>
      <c r="O1051" s="634"/>
    </row>
    <row r="1052">
      <c r="A1052" s="92"/>
      <c r="C1052" s="637"/>
      <c r="D1052" s="293"/>
      <c r="E1052" s="293"/>
      <c r="F1052" s="293"/>
      <c r="G1052" s="293"/>
      <c r="J1052" s="634"/>
      <c r="K1052" s="635"/>
      <c r="L1052" s="635"/>
      <c r="M1052" s="636"/>
      <c r="N1052" s="634"/>
      <c r="O1052" s="634"/>
    </row>
    <row r="1053">
      <c r="A1053" s="92"/>
      <c r="C1053" s="637"/>
      <c r="D1053" s="293"/>
      <c r="E1053" s="293"/>
      <c r="F1053" s="293"/>
      <c r="G1053" s="293"/>
      <c r="J1053" s="634"/>
      <c r="K1053" s="635"/>
      <c r="L1053" s="635"/>
      <c r="M1053" s="636"/>
      <c r="N1053" s="634"/>
      <c r="O1053" s="634"/>
    </row>
    <row r="1054">
      <c r="A1054" s="92"/>
      <c r="C1054" s="637"/>
      <c r="D1054" s="293"/>
      <c r="E1054" s="293"/>
      <c r="F1054" s="293"/>
      <c r="G1054" s="293"/>
      <c r="J1054" s="634"/>
      <c r="K1054" s="635"/>
      <c r="L1054" s="635"/>
      <c r="M1054" s="636"/>
      <c r="N1054" s="634"/>
      <c r="O1054" s="634"/>
    </row>
    <row r="1055">
      <c r="A1055" s="92"/>
      <c r="C1055" s="637"/>
      <c r="D1055" s="293"/>
      <c r="E1055" s="293"/>
      <c r="F1055" s="293"/>
      <c r="G1055" s="293"/>
      <c r="J1055" s="634"/>
      <c r="K1055" s="635"/>
      <c r="L1055" s="635"/>
      <c r="M1055" s="636"/>
      <c r="N1055" s="634"/>
      <c r="O1055" s="634"/>
    </row>
    <row r="1056">
      <c r="A1056" s="92"/>
      <c r="C1056" s="637"/>
      <c r="D1056" s="293"/>
      <c r="E1056" s="293"/>
      <c r="F1056" s="293"/>
      <c r="G1056" s="293"/>
      <c r="J1056" s="634"/>
      <c r="K1056" s="635"/>
      <c r="L1056" s="635"/>
      <c r="M1056" s="636"/>
      <c r="N1056" s="634"/>
      <c r="O1056" s="634"/>
    </row>
    <row r="1057">
      <c r="A1057" s="92"/>
      <c r="C1057" s="637"/>
      <c r="D1057" s="293"/>
      <c r="E1057" s="293"/>
      <c r="F1057" s="293"/>
      <c r="G1057" s="293"/>
      <c r="J1057" s="634"/>
      <c r="K1057" s="635"/>
      <c r="L1057" s="635"/>
      <c r="M1057" s="636"/>
      <c r="N1057" s="634"/>
      <c r="O1057" s="634"/>
    </row>
    <row r="1058">
      <c r="A1058" s="92"/>
      <c r="C1058" s="637"/>
      <c r="D1058" s="293"/>
      <c r="E1058" s="293"/>
      <c r="F1058" s="293"/>
      <c r="G1058" s="293"/>
      <c r="J1058" s="634"/>
      <c r="K1058" s="635"/>
      <c r="L1058" s="635"/>
      <c r="M1058" s="636"/>
      <c r="N1058" s="634"/>
      <c r="O1058" s="634"/>
    </row>
    <row r="1059">
      <c r="A1059" s="92"/>
      <c r="C1059" s="637"/>
      <c r="D1059" s="293"/>
      <c r="E1059" s="293"/>
      <c r="F1059" s="293"/>
      <c r="G1059" s="293"/>
      <c r="J1059" s="634"/>
      <c r="K1059" s="635"/>
      <c r="L1059" s="635"/>
      <c r="M1059" s="636"/>
      <c r="N1059" s="634"/>
      <c r="O1059" s="634"/>
    </row>
    <row r="1060">
      <c r="A1060" s="92"/>
      <c r="C1060" s="637"/>
      <c r="D1060" s="293"/>
      <c r="E1060" s="293"/>
      <c r="F1060" s="293"/>
      <c r="G1060" s="293"/>
      <c r="J1060" s="634"/>
      <c r="K1060" s="635"/>
      <c r="L1060" s="635"/>
      <c r="M1060" s="636"/>
      <c r="N1060" s="634"/>
      <c r="O1060" s="634"/>
    </row>
    <row r="1061">
      <c r="A1061" s="92"/>
      <c r="C1061" s="637"/>
      <c r="D1061" s="293"/>
      <c r="E1061" s="293"/>
      <c r="F1061" s="293"/>
      <c r="G1061" s="293"/>
      <c r="J1061" s="634"/>
      <c r="K1061" s="635"/>
      <c r="L1061" s="635"/>
      <c r="M1061" s="636"/>
      <c r="N1061" s="634"/>
      <c r="O1061" s="634"/>
    </row>
    <row r="1062">
      <c r="A1062" s="92"/>
      <c r="C1062" s="637"/>
      <c r="D1062" s="293"/>
      <c r="E1062" s="293"/>
      <c r="F1062" s="293"/>
      <c r="G1062" s="293"/>
      <c r="J1062" s="634"/>
      <c r="K1062" s="635"/>
      <c r="L1062" s="635"/>
      <c r="M1062" s="636"/>
      <c r="N1062" s="634"/>
      <c r="O1062" s="634"/>
    </row>
    <row r="1063">
      <c r="A1063" s="92"/>
      <c r="C1063" s="637"/>
      <c r="D1063" s="293"/>
      <c r="E1063" s="293"/>
      <c r="F1063" s="293"/>
      <c r="G1063" s="293"/>
      <c r="J1063" s="634"/>
      <c r="K1063" s="635"/>
      <c r="L1063" s="635"/>
      <c r="M1063" s="636"/>
      <c r="N1063" s="634"/>
      <c r="O1063" s="634"/>
    </row>
    <row r="1064">
      <c r="A1064" s="92"/>
      <c r="C1064" s="637"/>
      <c r="D1064" s="293"/>
      <c r="E1064" s="293"/>
      <c r="F1064" s="293"/>
      <c r="G1064" s="293"/>
      <c r="J1064" s="634"/>
      <c r="K1064" s="635"/>
      <c r="L1064" s="635"/>
      <c r="M1064" s="636"/>
      <c r="N1064" s="634"/>
      <c r="O1064" s="634"/>
    </row>
    <row r="1065">
      <c r="A1065" s="92"/>
      <c r="C1065" s="637"/>
      <c r="D1065" s="293"/>
      <c r="E1065" s="293"/>
      <c r="F1065" s="293"/>
      <c r="G1065" s="293"/>
      <c r="J1065" s="634"/>
      <c r="K1065" s="635"/>
      <c r="L1065" s="635"/>
      <c r="M1065" s="636"/>
      <c r="N1065" s="634"/>
      <c r="O1065" s="634"/>
    </row>
  </sheetData>
  <customSheetViews>
    <customSheetView guid="{FFFA9780-FE0C-48B1-B941-390F089B565F}" filter="1" showAutoFilter="1">
      <autoFilter ref="$R$1:$R$1065"/>
    </customSheetView>
  </customSheetViews>
  <mergeCells count="27">
    <mergeCell ref="E1:G1"/>
    <mergeCell ref="H1:J1"/>
    <mergeCell ref="K1:L1"/>
    <mergeCell ref="M1:M2"/>
    <mergeCell ref="N1:N2"/>
    <mergeCell ref="O1:O2"/>
    <mergeCell ref="A3:A17"/>
    <mergeCell ref="A18:A28"/>
    <mergeCell ref="A29:A69"/>
    <mergeCell ref="A70:A97"/>
    <mergeCell ref="A98:A109"/>
    <mergeCell ref="A110:A118"/>
    <mergeCell ref="A119:A142"/>
    <mergeCell ref="H141:J141"/>
    <mergeCell ref="A210:A225"/>
    <mergeCell ref="A226:A240"/>
    <mergeCell ref="A241:A245"/>
    <mergeCell ref="A246:A249"/>
    <mergeCell ref="A250:A285"/>
    <mergeCell ref="A286:A315"/>
    <mergeCell ref="A143:A157"/>
    <mergeCell ref="A158:A167"/>
    <mergeCell ref="A168:A172"/>
    <mergeCell ref="A173:A189"/>
    <mergeCell ref="A190:A200"/>
    <mergeCell ref="A201:A205"/>
    <mergeCell ref="A206:A209"/>
  </mergeCells>
  <hyperlinks>
    <hyperlink r:id="rId1" ref="P3"/>
    <hyperlink r:id="rId2" ref="P4"/>
    <hyperlink r:id="rId3" ref="P5"/>
    <hyperlink r:id="rId4" ref="P6"/>
    <hyperlink r:id="rId5" ref="P7"/>
    <hyperlink r:id="rId6" ref="P8"/>
    <hyperlink r:id="rId7" ref="P9"/>
    <hyperlink r:id="rId8" ref="P10"/>
    <hyperlink r:id="rId9" ref="P11"/>
    <hyperlink r:id="rId10" ref="P12"/>
    <hyperlink r:id="rId11" ref="P13"/>
    <hyperlink r:id="rId12" ref="P14"/>
    <hyperlink r:id="rId13" ref="P15"/>
    <hyperlink r:id="rId14" ref="P16"/>
    <hyperlink r:id="rId15" ref="P17"/>
    <hyperlink r:id="rId16" ref="P18"/>
    <hyperlink r:id="rId17" ref="P19"/>
    <hyperlink r:id="rId18" ref="P20"/>
    <hyperlink r:id="rId19" ref="P21"/>
    <hyperlink r:id="rId20" ref="P22"/>
    <hyperlink r:id="rId21" ref="P23"/>
    <hyperlink r:id="rId22" ref="P24"/>
    <hyperlink r:id="rId23" ref="P25"/>
    <hyperlink r:id="rId24" ref="P26"/>
    <hyperlink r:id="rId25" ref="P27"/>
    <hyperlink r:id="rId26" ref="P28"/>
    <hyperlink r:id="rId27" ref="P29"/>
    <hyperlink r:id="rId28" ref="P30"/>
    <hyperlink r:id="rId29" ref="P31"/>
    <hyperlink r:id="rId30" ref="P32"/>
    <hyperlink r:id="rId31" ref="P33"/>
    <hyperlink r:id="rId32" ref="P34"/>
    <hyperlink r:id="rId33" ref="P35"/>
    <hyperlink r:id="rId34" ref="P36"/>
    <hyperlink r:id="rId35" ref="P37"/>
    <hyperlink r:id="rId36" ref="P38"/>
    <hyperlink r:id="rId37" ref="P39"/>
    <hyperlink r:id="rId38" ref="P40"/>
    <hyperlink r:id="rId39" ref="P41"/>
    <hyperlink r:id="rId40" ref="P42"/>
    <hyperlink r:id="rId41" ref="P43"/>
    <hyperlink r:id="rId42" ref="P44"/>
    <hyperlink r:id="rId43" ref="P45"/>
    <hyperlink r:id="rId44" ref="P46"/>
    <hyperlink r:id="rId45" ref="P47"/>
    <hyperlink r:id="rId46" ref="P48"/>
    <hyperlink r:id="rId47" ref="P49"/>
    <hyperlink r:id="rId48" ref="P50"/>
    <hyperlink r:id="rId49" ref="P51"/>
    <hyperlink r:id="rId50" ref="P52"/>
    <hyperlink r:id="rId51" ref="P53"/>
    <hyperlink r:id="rId52" ref="P54"/>
    <hyperlink r:id="rId53" ref="P55"/>
    <hyperlink r:id="rId54" ref="P56"/>
    <hyperlink r:id="rId55" ref="P57"/>
    <hyperlink r:id="rId56" ref="P58"/>
    <hyperlink r:id="rId57" ref="P59"/>
    <hyperlink r:id="rId58" ref="P60"/>
    <hyperlink r:id="rId59" ref="P61"/>
    <hyperlink r:id="rId60" ref="P62"/>
    <hyperlink r:id="rId61" ref="P63"/>
    <hyperlink r:id="rId62" ref="P64"/>
    <hyperlink r:id="rId63" ref="P65"/>
    <hyperlink r:id="rId64" ref="P66"/>
    <hyperlink r:id="rId65" ref="P67"/>
    <hyperlink r:id="rId66" ref="P68"/>
    <hyperlink r:id="rId67" ref="P69"/>
    <hyperlink r:id="rId68" ref="P70"/>
    <hyperlink r:id="rId69" ref="P71"/>
    <hyperlink r:id="rId70" ref="P72"/>
    <hyperlink r:id="rId71" ref="P73"/>
    <hyperlink r:id="rId72" ref="P74"/>
    <hyperlink r:id="rId73" ref="P75"/>
    <hyperlink r:id="rId74" ref="P76"/>
    <hyperlink r:id="rId75" ref="P77"/>
    <hyperlink r:id="rId76" ref="P78"/>
    <hyperlink r:id="rId77" ref="P79"/>
    <hyperlink r:id="rId78" ref="P80"/>
    <hyperlink r:id="rId79" ref="P81"/>
    <hyperlink r:id="rId80" ref="P82"/>
    <hyperlink r:id="rId81" ref="P83"/>
    <hyperlink r:id="rId82" ref="P84"/>
    <hyperlink r:id="rId83" ref="P85"/>
    <hyperlink r:id="rId84" ref="P86"/>
    <hyperlink r:id="rId85" ref="P87"/>
    <hyperlink r:id="rId86" ref="P88"/>
    <hyperlink r:id="rId87" ref="P89"/>
    <hyperlink r:id="rId88" ref="P90"/>
    <hyperlink r:id="rId89" ref="P91"/>
    <hyperlink r:id="rId90" ref="P92"/>
    <hyperlink r:id="rId91" ref="P93"/>
    <hyperlink r:id="rId92" ref="P94"/>
    <hyperlink r:id="rId93" ref="P95"/>
    <hyperlink r:id="rId94" ref="P96"/>
    <hyperlink r:id="rId95" ref="P97"/>
    <hyperlink r:id="rId96" ref="P98"/>
    <hyperlink r:id="rId97" ref="P99"/>
    <hyperlink r:id="rId98" ref="P100"/>
    <hyperlink r:id="rId99" ref="P101"/>
    <hyperlink r:id="rId100" ref="P102"/>
    <hyperlink r:id="rId101" ref="P103"/>
    <hyperlink r:id="rId102" ref="P104"/>
    <hyperlink r:id="rId103" ref="P105"/>
    <hyperlink r:id="rId104" ref="P106"/>
    <hyperlink r:id="rId105" ref="P107"/>
    <hyperlink r:id="rId106" ref="P108"/>
    <hyperlink r:id="rId107" ref="P109"/>
    <hyperlink r:id="rId108" ref="P110"/>
    <hyperlink r:id="rId109" ref="P111"/>
    <hyperlink r:id="rId110" ref="P112"/>
    <hyperlink r:id="rId111" ref="P113"/>
    <hyperlink r:id="rId112" ref="P114"/>
    <hyperlink r:id="rId113" ref="P115"/>
    <hyperlink r:id="rId114" ref="P116"/>
    <hyperlink r:id="rId115" ref="P117"/>
    <hyperlink r:id="rId116" ref="P118"/>
    <hyperlink r:id="rId117" ref="P119"/>
    <hyperlink r:id="rId118" ref="P120"/>
    <hyperlink r:id="rId119" ref="P121"/>
    <hyperlink r:id="rId120" ref="P122"/>
    <hyperlink r:id="rId121" ref="P123"/>
    <hyperlink r:id="rId122" ref="P124"/>
    <hyperlink r:id="rId123" ref="P125"/>
    <hyperlink r:id="rId124" ref="P126"/>
    <hyperlink r:id="rId125" ref="P127"/>
    <hyperlink r:id="rId126" ref="P128"/>
    <hyperlink r:id="rId127" ref="P129"/>
    <hyperlink r:id="rId128" ref="P130"/>
    <hyperlink r:id="rId129" ref="P131"/>
    <hyperlink r:id="rId130" ref="P132"/>
    <hyperlink r:id="rId131" ref="P133"/>
    <hyperlink r:id="rId132" ref="P134"/>
    <hyperlink r:id="rId133" ref="P135"/>
    <hyperlink r:id="rId134" ref="P136"/>
    <hyperlink r:id="rId135" ref="P137"/>
    <hyperlink r:id="rId136" ref="P138"/>
    <hyperlink r:id="rId137" ref="P139"/>
    <hyperlink r:id="rId138" ref="P140"/>
    <hyperlink r:id="rId139" ref="P141"/>
    <hyperlink r:id="rId140" ref="P142"/>
    <hyperlink r:id="rId141" ref="P143"/>
    <hyperlink r:id="rId142" ref="P144"/>
    <hyperlink r:id="rId143" ref="P145"/>
    <hyperlink r:id="rId144" ref="P146"/>
    <hyperlink r:id="rId145" ref="P147"/>
    <hyperlink r:id="rId146" ref="P148"/>
    <hyperlink r:id="rId147" ref="P149"/>
    <hyperlink r:id="rId148" ref="P150"/>
    <hyperlink r:id="rId149" ref="P151"/>
    <hyperlink r:id="rId150" ref="P152"/>
    <hyperlink r:id="rId151" ref="P153"/>
    <hyperlink r:id="rId152" ref="P154"/>
    <hyperlink r:id="rId153" ref="P155"/>
    <hyperlink r:id="rId154" ref="P156"/>
    <hyperlink r:id="rId155" ref="P157"/>
    <hyperlink r:id="rId156" ref="P158"/>
    <hyperlink r:id="rId157" ref="P159"/>
    <hyperlink r:id="rId158" ref="P160"/>
    <hyperlink r:id="rId159" ref="P161"/>
    <hyperlink r:id="rId160" ref="P162"/>
    <hyperlink r:id="rId161" ref="P163"/>
    <hyperlink r:id="rId162" ref="P164"/>
    <hyperlink r:id="rId163" ref="P165"/>
    <hyperlink r:id="rId164" ref="P166"/>
    <hyperlink r:id="rId165" ref="P167"/>
    <hyperlink r:id="rId166" ref="P168"/>
    <hyperlink r:id="rId167" ref="P169"/>
    <hyperlink r:id="rId168" ref="P170"/>
    <hyperlink r:id="rId169" ref="P171"/>
    <hyperlink r:id="rId170" ref="P172"/>
    <hyperlink r:id="rId171" ref="P173"/>
    <hyperlink r:id="rId172" ref="P174"/>
    <hyperlink r:id="rId173" ref="P175"/>
    <hyperlink r:id="rId174" ref="P176"/>
    <hyperlink r:id="rId175" ref="P177"/>
    <hyperlink r:id="rId176" ref="P178"/>
    <hyperlink r:id="rId177" ref="P179"/>
    <hyperlink r:id="rId178" ref="P180"/>
    <hyperlink r:id="rId179" ref="P181"/>
    <hyperlink r:id="rId180" ref="P182"/>
    <hyperlink r:id="rId181" ref="P183"/>
    <hyperlink r:id="rId182" ref="P184"/>
    <hyperlink r:id="rId183" ref="P185"/>
    <hyperlink r:id="rId184" ref="P186"/>
    <hyperlink r:id="rId185" ref="P187"/>
    <hyperlink r:id="rId186" ref="P188"/>
    <hyperlink r:id="rId187" ref="P189"/>
    <hyperlink r:id="rId188" ref="P190"/>
    <hyperlink r:id="rId189" ref="P191"/>
    <hyperlink r:id="rId190" ref="P192"/>
    <hyperlink r:id="rId191" ref="P193"/>
    <hyperlink r:id="rId192" ref="P194"/>
    <hyperlink r:id="rId193" ref="P195"/>
    <hyperlink r:id="rId194" ref="P196"/>
    <hyperlink r:id="rId195" ref="P197"/>
    <hyperlink r:id="rId196" ref="P198"/>
    <hyperlink r:id="rId197" ref="P199"/>
    <hyperlink r:id="rId198" ref="P200"/>
    <hyperlink r:id="rId199" ref="P201"/>
    <hyperlink r:id="rId200" ref="P202"/>
    <hyperlink r:id="rId201" ref="P205"/>
    <hyperlink r:id="rId202" ref="P206"/>
    <hyperlink r:id="rId203" ref="P207"/>
    <hyperlink r:id="rId204" ref="P208"/>
    <hyperlink r:id="rId205" ref="P210"/>
    <hyperlink r:id="rId206" ref="P211"/>
    <hyperlink r:id="rId207" ref="P212"/>
    <hyperlink r:id="rId208" ref="P213"/>
    <hyperlink r:id="rId209" ref="P215"/>
    <hyperlink r:id="rId210" ref="P216"/>
    <hyperlink r:id="rId211" ref="P217"/>
    <hyperlink r:id="rId212" ref="P218"/>
    <hyperlink r:id="rId213" ref="P223"/>
    <hyperlink r:id="rId214" ref="P225"/>
    <hyperlink r:id="rId215" ref="P226"/>
    <hyperlink r:id="rId216" ref="P227"/>
    <hyperlink r:id="rId217" ref="P228"/>
    <hyperlink r:id="rId218" ref="P229"/>
    <hyperlink r:id="rId219" ref="P230"/>
    <hyperlink r:id="rId220" ref="P231"/>
    <hyperlink r:id="rId221" ref="P232"/>
    <hyperlink r:id="rId222" ref="P233"/>
    <hyperlink r:id="rId223" ref="P234"/>
    <hyperlink r:id="rId224" ref="P235"/>
    <hyperlink r:id="rId225" ref="P236"/>
    <hyperlink r:id="rId226" ref="P237"/>
    <hyperlink r:id="rId227" ref="P238"/>
    <hyperlink r:id="rId228" ref="P239"/>
    <hyperlink r:id="rId229" ref="P240"/>
    <hyperlink r:id="rId230" ref="P242"/>
    <hyperlink r:id="rId231" ref="P243"/>
    <hyperlink r:id="rId232" ref="P244"/>
    <hyperlink r:id="rId233" ref="P246"/>
    <hyperlink r:id="rId234" ref="P247"/>
    <hyperlink r:id="rId235" ref="P248"/>
    <hyperlink r:id="rId236" ref="P249"/>
    <hyperlink r:id="rId237" ref="P250"/>
    <hyperlink r:id="rId238" ref="P256"/>
    <hyperlink r:id="rId239" ref="P280"/>
    <hyperlink r:id="rId240" ref="P287"/>
    <hyperlink r:id="rId241" ref="P289"/>
    <hyperlink r:id="rId242" ref="P291"/>
    <hyperlink r:id="rId243" ref="P294"/>
    <hyperlink r:id="rId244" ref="P295"/>
    <hyperlink r:id="rId245" ref="P296"/>
    <hyperlink r:id="rId246" ref="P303"/>
    <hyperlink r:id="rId247" ref="P305"/>
    <hyperlink r:id="rId248" ref="P306"/>
    <hyperlink r:id="rId249" ref="P308"/>
    <hyperlink r:id="rId250" ref="P311"/>
    <hyperlink r:id="rId251" ref="P312"/>
    <hyperlink r:id="rId252" ref="P314"/>
  </hyperlinks>
  <drawing r:id="rId2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1" width="11.38"/>
    <col customWidth="1" min="2" max="2" width="6.88"/>
    <col customWidth="1" min="3" max="3" width="62.0"/>
    <col customWidth="1" min="4" max="4" width="24.63"/>
    <col customWidth="1" min="5" max="5" width="21.5"/>
    <col customWidth="1" min="6" max="6" width="15.63"/>
    <col customWidth="1" min="7" max="7" width="17.88"/>
    <col customWidth="1" min="8" max="8" width="16.38"/>
    <col customWidth="1" min="9" max="9" width="15.63"/>
    <col customWidth="1" min="10" max="10" width="13.38"/>
    <col customWidth="1" min="11" max="11" width="17.5"/>
    <col customWidth="1" min="12" max="12" width="18.13"/>
    <col customWidth="1" min="13" max="13" width="14.88"/>
    <col customWidth="1" min="14" max="14" width="16.38"/>
    <col customWidth="1" min="15" max="15" width="33.25"/>
    <col customWidth="1" min="16" max="16" width="26.5"/>
    <col customWidth="1" min="17" max="17" width="27.88"/>
    <col customWidth="1" min="18" max="18" width="26.13"/>
    <col customWidth="1" min="19" max="19" width="21.88"/>
    <col customWidth="1" min="20" max="20" width="30.75"/>
    <col customWidth="1" min="21" max="21" width="20.88"/>
    <col customWidth="1" min="22" max="22" width="16.25"/>
  </cols>
  <sheetData>
    <row r="1">
      <c r="A1" s="514" t="s">
        <v>0</v>
      </c>
      <c r="B1" s="514" t="s">
        <v>4297</v>
      </c>
      <c r="C1" s="514" t="s">
        <v>4298</v>
      </c>
      <c r="D1" s="514" t="s">
        <v>2</v>
      </c>
      <c r="E1" s="509" t="s">
        <v>5</v>
      </c>
      <c r="F1" s="10"/>
      <c r="G1" s="10"/>
      <c r="H1" s="509" t="s">
        <v>4299</v>
      </c>
    </row>
    <row r="2">
      <c r="C2" s="514"/>
      <c r="E2" s="18"/>
      <c r="F2" s="514" t="s">
        <v>3719</v>
      </c>
      <c r="G2" s="514" t="s">
        <v>3720</v>
      </c>
      <c r="H2" s="18" t="s">
        <v>4300</v>
      </c>
      <c r="I2" s="18" t="s">
        <v>4301</v>
      </c>
      <c r="J2" s="18" t="s">
        <v>4302</v>
      </c>
      <c r="K2" s="18" t="s">
        <v>4303</v>
      </c>
      <c r="L2" s="18" t="s">
        <v>4304</v>
      </c>
      <c r="M2" s="18" t="s">
        <v>4305</v>
      </c>
      <c r="N2" s="18" t="s">
        <v>4306</v>
      </c>
      <c r="O2" s="18" t="s">
        <v>4307</v>
      </c>
      <c r="P2" s="18" t="s">
        <v>4308</v>
      </c>
      <c r="Q2" s="18" t="s">
        <v>4309</v>
      </c>
      <c r="R2" s="638" t="s">
        <v>4310</v>
      </c>
      <c r="S2" s="638" t="s">
        <v>4311</v>
      </c>
      <c r="T2" s="638" t="s">
        <v>4312</v>
      </c>
      <c r="U2" s="18" t="s">
        <v>4313</v>
      </c>
      <c r="V2" s="18" t="s">
        <v>4314</v>
      </c>
    </row>
    <row r="3">
      <c r="A3" s="639" t="s">
        <v>1443</v>
      </c>
      <c r="B3" s="640" t="s">
        <v>1512</v>
      </c>
      <c r="C3" s="542" t="s">
        <v>4315</v>
      </c>
      <c r="D3" s="641" t="s">
        <v>3805</v>
      </c>
      <c r="E3" s="642"/>
      <c r="F3" s="537"/>
      <c r="G3" s="537"/>
      <c r="H3" s="536"/>
      <c r="I3" s="536"/>
      <c r="J3" s="537"/>
      <c r="K3" s="536"/>
      <c r="L3" s="537"/>
      <c r="M3" s="537"/>
      <c r="N3" s="537"/>
      <c r="O3" s="537"/>
      <c r="P3" s="536"/>
      <c r="Q3" s="537"/>
      <c r="R3" s="537"/>
      <c r="S3" s="537"/>
      <c r="T3" s="537"/>
      <c r="U3" s="537"/>
      <c r="V3" s="536"/>
      <c r="W3" s="536"/>
      <c r="X3" s="536"/>
      <c r="Y3" s="536"/>
      <c r="Z3" s="536"/>
      <c r="AA3" s="536"/>
      <c r="AB3" s="536"/>
      <c r="AC3" s="536"/>
      <c r="AD3" s="536"/>
      <c r="AE3" s="536"/>
      <c r="AF3" s="536"/>
      <c r="AG3" s="536"/>
    </row>
    <row r="4">
      <c r="B4" s="640" t="s">
        <v>1511</v>
      </c>
      <c r="C4" s="537"/>
      <c r="D4" s="641" t="s">
        <v>4316</v>
      </c>
      <c r="E4" s="642" t="s">
        <v>4317</v>
      </c>
      <c r="F4" s="537"/>
      <c r="G4" s="537"/>
      <c r="H4" s="536"/>
      <c r="I4" s="536"/>
      <c r="J4" s="537"/>
      <c r="K4" s="536"/>
      <c r="L4" s="537"/>
      <c r="M4" s="537"/>
      <c r="N4" s="537"/>
      <c r="O4" s="537"/>
      <c r="P4" s="536"/>
      <c r="Q4" s="537"/>
      <c r="R4" s="537"/>
      <c r="S4" s="537"/>
      <c r="T4" s="537"/>
      <c r="U4" s="537"/>
      <c r="V4" s="536"/>
      <c r="W4" s="536"/>
      <c r="X4" s="536"/>
      <c r="Y4" s="536"/>
      <c r="Z4" s="536"/>
      <c r="AA4" s="536"/>
      <c r="AB4" s="536"/>
      <c r="AC4" s="536"/>
      <c r="AD4" s="536"/>
      <c r="AE4" s="536"/>
      <c r="AF4" s="536"/>
      <c r="AG4" s="536"/>
    </row>
    <row r="5">
      <c r="B5" s="640" t="s">
        <v>1510</v>
      </c>
      <c r="C5" s="537"/>
      <c r="D5" s="641" t="s">
        <v>4318</v>
      </c>
      <c r="E5" s="642" t="s">
        <v>4317</v>
      </c>
      <c r="F5" s="537"/>
      <c r="G5" s="537"/>
      <c r="H5" s="536"/>
      <c r="I5" s="536"/>
      <c r="J5" s="537"/>
      <c r="K5" s="536"/>
      <c r="L5" s="537"/>
      <c r="M5" s="537"/>
      <c r="N5" s="537"/>
      <c r="O5" s="537"/>
      <c r="P5" s="536"/>
      <c r="Q5" s="537"/>
      <c r="R5" s="537"/>
      <c r="S5" s="537"/>
      <c r="T5" s="537"/>
      <c r="U5" s="537"/>
      <c r="V5" s="536"/>
      <c r="W5" s="536"/>
      <c r="X5" s="536"/>
      <c r="Y5" s="536"/>
      <c r="Z5" s="536"/>
      <c r="AA5" s="536"/>
      <c r="AB5" s="536"/>
      <c r="AC5" s="536"/>
      <c r="AD5" s="536"/>
      <c r="AE5" s="536"/>
      <c r="AF5" s="536"/>
      <c r="AG5" s="536"/>
    </row>
    <row r="6">
      <c r="B6" s="640" t="s">
        <v>1506</v>
      </c>
      <c r="C6" s="542" t="s">
        <v>4319</v>
      </c>
      <c r="D6" s="641" t="s">
        <v>3825</v>
      </c>
      <c r="E6" s="642"/>
      <c r="F6" s="537"/>
      <c r="G6" s="537"/>
      <c r="H6" s="536"/>
      <c r="I6" s="536"/>
      <c r="J6" s="537"/>
      <c r="K6" s="536"/>
      <c r="L6" s="537"/>
      <c r="M6" s="537"/>
      <c r="N6" s="537"/>
      <c r="O6" s="537"/>
      <c r="P6" s="536"/>
      <c r="Q6" s="537"/>
      <c r="R6" s="537"/>
      <c r="S6" s="537"/>
      <c r="T6" s="537"/>
      <c r="U6" s="537"/>
      <c r="V6" s="536"/>
      <c r="W6" s="536"/>
      <c r="X6" s="536"/>
      <c r="Y6" s="536"/>
      <c r="Z6" s="536"/>
      <c r="AA6" s="536"/>
      <c r="AB6" s="536"/>
      <c r="AC6" s="536"/>
      <c r="AD6" s="536"/>
      <c r="AE6" s="536"/>
      <c r="AF6" s="536"/>
      <c r="AG6" s="536"/>
    </row>
    <row r="7">
      <c r="B7" s="640" t="s">
        <v>1501</v>
      </c>
      <c r="C7" s="542" t="s">
        <v>4320</v>
      </c>
      <c r="D7" s="641" t="s">
        <v>4321</v>
      </c>
      <c r="E7" s="642"/>
      <c r="F7" s="537"/>
      <c r="G7" s="537"/>
      <c r="H7" s="536"/>
      <c r="I7" s="536"/>
      <c r="J7" s="537"/>
      <c r="K7" s="536"/>
      <c r="L7" s="537"/>
      <c r="M7" s="537"/>
      <c r="N7" s="537"/>
      <c r="O7" s="537"/>
      <c r="P7" s="536"/>
      <c r="Q7" s="537"/>
      <c r="R7" s="537"/>
      <c r="S7" s="537"/>
      <c r="T7" s="537"/>
      <c r="U7" s="537"/>
      <c r="V7" s="536"/>
      <c r="W7" s="536"/>
      <c r="X7" s="536"/>
      <c r="Y7" s="536"/>
      <c r="Z7" s="536"/>
      <c r="AA7" s="536"/>
      <c r="AB7" s="536"/>
      <c r="AC7" s="536"/>
      <c r="AD7" s="536"/>
      <c r="AE7" s="536"/>
      <c r="AF7" s="536"/>
      <c r="AG7" s="536"/>
    </row>
    <row r="8">
      <c r="B8" s="640" t="s">
        <v>1497</v>
      </c>
      <c r="C8" s="542" t="s">
        <v>4322</v>
      </c>
      <c r="D8" s="641" t="s">
        <v>4323</v>
      </c>
      <c r="E8" s="642"/>
      <c r="F8" s="537"/>
      <c r="G8" s="537"/>
      <c r="H8" s="536"/>
      <c r="I8" s="536"/>
      <c r="J8" s="537"/>
      <c r="K8" s="536"/>
      <c r="L8" s="537"/>
      <c r="M8" s="537"/>
      <c r="N8" s="537"/>
      <c r="O8" s="537"/>
      <c r="P8" s="536"/>
      <c r="Q8" s="537"/>
      <c r="R8" s="537"/>
      <c r="S8" s="537"/>
      <c r="T8" s="537"/>
      <c r="U8" s="537"/>
      <c r="V8" s="536"/>
      <c r="W8" s="536"/>
      <c r="X8" s="536"/>
      <c r="Y8" s="536"/>
      <c r="Z8" s="536"/>
      <c r="AA8" s="536"/>
      <c r="AB8" s="536"/>
      <c r="AC8" s="536"/>
      <c r="AD8" s="536"/>
      <c r="AE8" s="536"/>
      <c r="AF8" s="536"/>
      <c r="AG8" s="536"/>
    </row>
    <row r="9">
      <c r="B9" s="640" t="s">
        <v>1492</v>
      </c>
      <c r="C9" s="542" t="s">
        <v>4324</v>
      </c>
      <c r="D9" s="641" t="s">
        <v>883</v>
      </c>
      <c r="E9" s="642"/>
      <c r="F9" s="537"/>
      <c r="G9" s="537"/>
      <c r="H9" s="536"/>
      <c r="I9" s="536"/>
      <c r="J9" s="537"/>
      <c r="K9" s="536"/>
      <c r="L9" s="537"/>
      <c r="M9" s="537"/>
      <c r="N9" s="537"/>
      <c r="O9" s="537"/>
      <c r="P9" s="536"/>
      <c r="Q9" s="537"/>
      <c r="R9" s="537"/>
      <c r="S9" s="537"/>
      <c r="T9" s="537"/>
      <c r="U9" s="537"/>
      <c r="V9" s="536"/>
      <c r="W9" s="536"/>
      <c r="X9" s="536"/>
      <c r="Y9" s="536"/>
      <c r="Z9" s="536"/>
      <c r="AA9" s="536"/>
      <c r="AB9" s="536"/>
      <c r="AC9" s="536"/>
      <c r="AD9" s="536"/>
      <c r="AE9" s="536"/>
      <c r="AF9" s="536"/>
      <c r="AG9" s="536"/>
    </row>
    <row r="10">
      <c r="B10" s="640" t="s">
        <v>1488</v>
      </c>
      <c r="C10" s="542" t="s">
        <v>4325</v>
      </c>
      <c r="D10" s="641" t="s">
        <v>4326</v>
      </c>
      <c r="E10" s="642" t="s">
        <v>3728</v>
      </c>
      <c r="F10" s="537"/>
      <c r="G10" s="537"/>
      <c r="H10" s="536"/>
      <c r="I10" s="536"/>
      <c r="J10" s="537"/>
      <c r="K10" s="536"/>
      <c r="L10" s="537"/>
      <c r="M10" s="537"/>
      <c r="N10" s="537"/>
      <c r="O10" s="537"/>
      <c r="P10" s="536"/>
      <c r="Q10" s="537"/>
      <c r="R10" s="537"/>
      <c r="S10" s="537"/>
      <c r="T10" s="537"/>
      <c r="U10" s="537"/>
      <c r="V10" s="536"/>
      <c r="W10" s="536"/>
      <c r="X10" s="536"/>
      <c r="Y10" s="536"/>
      <c r="Z10" s="536"/>
      <c r="AA10" s="536"/>
      <c r="AB10" s="536"/>
      <c r="AC10" s="536"/>
      <c r="AD10" s="536"/>
      <c r="AE10" s="536"/>
      <c r="AF10" s="536"/>
      <c r="AG10" s="536"/>
    </row>
    <row r="11">
      <c r="B11" s="640" t="s">
        <v>1484</v>
      </c>
      <c r="C11" s="542" t="s">
        <v>4327</v>
      </c>
      <c r="D11" s="641" t="s">
        <v>3795</v>
      </c>
      <c r="E11" s="642"/>
      <c r="F11" s="537"/>
      <c r="G11" s="537"/>
      <c r="H11" s="536"/>
      <c r="I11" s="536"/>
      <c r="J11" s="537"/>
      <c r="K11" s="536"/>
      <c r="L11" s="537"/>
      <c r="M11" s="537"/>
      <c r="N11" s="537"/>
      <c r="O11" s="537"/>
      <c r="P11" s="536"/>
      <c r="Q11" s="537"/>
      <c r="R11" s="537"/>
      <c r="S11" s="537"/>
      <c r="T11" s="537"/>
      <c r="U11" s="537"/>
      <c r="V11" s="536"/>
      <c r="W11" s="536"/>
      <c r="X11" s="536"/>
      <c r="Y11" s="536"/>
      <c r="Z11" s="536"/>
      <c r="AA11" s="536"/>
      <c r="AB11" s="536"/>
      <c r="AC11" s="536"/>
      <c r="AD11" s="536"/>
      <c r="AE11" s="536"/>
      <c r="AF11" s="536"/>
      <c r="AG11" s="536"/>
    </row>
    <row r="12">
      <c r="B12" s="640" t="s">
        <v>1483</v>
      </c>
      <c r="C12" s="537"/>
      <c r="D12" s="641" t="s">
        <v>104</v>
      </c>
      <c r="E12" s="642" t="s">
        <v>4317</v>
      </c>
      <c r="F12" s="537"/>
      <c r="G12" s="537"/>
      <c r="H12" s="536"/>
      <c r="I12" s="536"/>
      <c r="J12" s="537"/>
      <c r="K12" s="536"/>
      <c r="L12" s="537"/>
      <c r="M12" s="537"/>
      <c r="N12" s="537"/>
      <c r="O12" s="537"/>
      <c r="P12" s="536"/>
      <c r="Q12" s="537"/>
      <c r="R12" s="537"/>
      <c r="S12" s="537"/>
      <c r="T12" s="537"/>
      <c r="U12" s="537"/>
      <c r="V12" s="536"/>
      <c r="W12" s="536"/>
      <c r="X12" s="536"/>
      <c r="Y12" s="536"/>
      <c r="Z12" s="536"/>
      <c r="AA12" s="536"/>
      <c r="AB12" s="536"/>
      <c r="AC12" s="536"/>
      <c r="AD12" s="536"/>
      <c r="AE12" s="536"/>
      <c r="AF12" s="536"/>
      <c r="AG12" s="536"/>
    </row>
    <row r="13">
      <c r="B13" s="640" t="s">
        <v>1479</v>
      </c>
      <c r="C13" s="542" t="s">
        <v>4328</v>
      </c>
      <c r="D13" s="641" t="s">
        <v>4329</v>
      </c>
      <c r="E13" s="642"/>
      <c r="F13" s="537"/>
      <c r="G13" s="537"/>
      <c r="H13" s="536"/>
      <c r="I13" s="536"/>
      <c r="J13" s="537"/>
      <c r="K13" s="536"/>
      <c r="L13" s="537"/>
      <c r="M13" s="537"/>
      <c r="N13" s="537"/>
      <c r="O13" s="537"/>
      <c r="P13" s="536"/>
      <c r="Q13" s="537"/>
      <c r="R13" s="537"/>
      <c r="S13" s="537"/>
      <c r="T13" s="537"/>
      <c r="U13" s="537"/>
      <c r="V13" s="536"/>
      <c r="W13" s="536"/>
      <c r="X13" s="536"/>
      <c r="Y13" s="536"/>
      <c r="Z13" s="536"/>
      <c r="AA13" s="536"/>
      <c r="AB13" s="536"/>
      <c r="AC13" s="536"/>
      <c r="AD13" s="536"/>
      <c r="AE13" s="536"/>
      <c r="AF13" s="536"/>
      <c r="AG13" s="536"/>
    </row>
    <row r="14">
      <c r="B14" s="640" t="s">
        <v>1477</v>
      </c>
      <c r="C14" s="537"/>
      <c r="D14" s="641" t="s">
        <v>4330</v>
      </c>
      <c r="E14" s="642" t="s">
        <v>4317</v>
      </c>
      <c r="F14" s="537"/>
      <c r="G14" s="537"/>
      <c r="H14" s="536"/>
      <c r="I14" s="536"/>
      <c r="J14" s="537"/>
      <c r="K14" s="536"/>
      <c r="L14" s="537"/>
      <c r="M14" s="537"/>
      <c r="N14" s="537"/>
      <c r="O14" s="537"/>
      <c r="P14" s="536"/>
      <c r="Q14" s="537"/>
      <c r="R14" s="537"/>
      <c r="S14" s="537"/>
      <c r="T14" s="537"/>
      <c r="U14" s="537"/>
      <c r="V14" s="536"/>
      <c r="W14" s="536"/>
      <c r="X14" s="536"/>
      <c r="Y14" s="536"/>
      <c r="Z14" s="536"/>
      <c r="AA14" s="536"/>
      <c r="AB14" s="536"/>
      <c r="AC14" s="536"/>
      <c r="AD14" s="536"/>
      <c r="AE14" s="536"/>
      <c r="AF14" s="536"/>
      <c r="AG14" s="536"/>
    </row>
    <row r="15">
      <c r="B15" s="640" t="s">
        <v>4331</v>
      </c>
      <c r="C15" s="542" t="s">
        <v>4332</v>
      </c>
      <c r="D15" s="641" t="s">
        <v>4333</v>
      </c>
      <c r="E15" s="642" t="s">
        <v>3728</v>
      </c>
      <c r="F15" s="537"/>
      <c r="G15" s="537"/>
      <c r="H15" s="536"/>
      <c r="I15" s="536"/>
      <c r="J15" s="537"/>
      <c r="K15" s="536"/>
      <c r="L15" s="537"/>
      <c r="M15" s="537"/>
      <c r="N15" s="537"/>
      <c r="O15" s="537"/>
      <c r="P15" s="536"/>
      <c r="Q15" s="537"/>
      <c r="R15" s="537"/>
      <c r="S15" s="537"/>
      <c r="T15" s="537"/>
      <c r="U15" s="537"/>
      <c r="V15" s="536"/>
      <c r="W15" s="536"/>
      <c r="X15" s="536"/>
      <c r="Y15" s="536"/>
      <c r="Z15" s="536"/>
      <c r="AA15" s="536"/>
      <c r="AB15" s="536"/>
      <c r="AC15" s="536"/>
      <c r="AD15" s="536"/>
      <c r="AE15" s="536"/>
      <c r="AF15" s="536"/>
      <c r="AG15" s="536"/>
    </row>
    <row r="16">
      <c r="B16" s="640" t="s">
        <v>4331</v>
      </c>
      <c r="C16" s="542" t="s">
        <v>4334</v>
      </c>
      <c r="D16" s="641" t="s">
        <v>4335</v>
      </c>
      <c r="E16" s="642"/>
      <c r="F16" s="537"/>
      <c r="G16" s="537"/>
      <c r="H16" s="536"/>
      <c r="I16" s="536"/>
      <c r="J16" s="537"/>
      <c r="K16" s="536"/>
      <c r="L16" s="537"/>
      <c r="M16" s="537"/>
      <c r="N16" s="537"/>
      <c r="O16" s="537"/>
      <c r="P16" s="536"/>
      <c r="Q16" s="537"/>
      <c r="R16" s="537"/>
      <c r="S16" s="537"/>
      <c r="T16" s="537"/>
      <c r="U16" s="537"/>
      <c r="V16" s="536"/>
      <c r="W16" s="536"/>
      <c r="X16" s="536"/>
      <c r="Y16" s="536"/>
      <c r="Z16" s="536"/>
      <c r="AA16" s="536"/>
      <c r="AB16" s="536"/>
      <c r="AC16" s="536"/>
      <c r="AD16" s="536"/>
      <c r="AE16" s="536"/>
      <c r="AF16" s="536"/>
      <c r="AG16" s="536"/>
    </row>
    <row r="17">
      <c r="B17" s="640" t="s">
        <v>4336</v>
      </c>
      <c r="C17" s="542" t="s">
        <v>4337</v>
      </c>
      <c r="D17" s="641" t="s">
        <v>4338</v>
      </c>
      <c r="E17" s="642" t="s">
        <v>4339</v>
      </c>
      <c r="F17" s="537"/>
      <c r="G17" s="537"/>
      <c r="H17" s="536"/>
      <c r="I17" s="536"/>
      <c r="J17" s="537"/>
      <c r="K17" s="536"/>
      <c r="L17" s="537"/>
      <c r="M17" s="537"/>
      <c r="N17" s="537"/>
      <c r="O17" s="537"/>
      <c r="P17" s="536"/>
      <c r="Q17" s="537"/>
      <c r="R17" s="537"/>
      <c r="S17" s="537"/>
      <c r="T17" s="537"/>
      <c r="U17" s="537"/>
      <c r="V17" s="536"/>
      <c r="W17" s="536"/>
      <c r="X17" s="536"/>
      <c r="Y17" s="536"/>
      <c r="Z17" s="536"/>
      <c r="AA17" s="536"/>
      <c r="AB17" s="536"/>
      <c r="AC17" s="536"/>
      <c r="AD17" s="536"/>
      <c r="AE17" s="536"/>
      <c r="AF17" s="536"/>
      <c r="AG17" s="536"/>
    </row>
    <row r="18">
      <c r="B18" s="640" t="s">
        <v>4336</v>
      </c>
      <c r="C18" s="542" t="s">
        <v>4340</v>
      </c>
      <c r="D18" s="641" t="s">
        <v>4341</v>
      </c>
      <c r="E18" s="642" t="s">
        <v>4339</v>
      </c>
      <c r="F18" s="537"/>
      <c r="G18" s="537"/>
      <c r="H18" s="536"/>
      <c r="I18" s="536"/>
      <c r="J18" s="537"/>
      <c r="K18" s="536"/>
      <c r="L18" s="537"/>
      <c r="M18" s="537"/>
      <c r="N18" s="537"/>
      <c r="O18" s="537"/>
      <c r="P18" s="536"/>
      <c r="Q18" s="537"/>
      <c r="R18" s="537"/>
      <c r="S18" s="537"/>
      <c r="T18" s="537"/>
      <c r="U18" s="537"/>
      <c r="V18" s="536"/>
      <c r="W18" s="536"/>
      <c r="X18" s="536"/>
      <c r="Y18" s="536"/>
      <c r="Z18" s="536"/>
      <c r="AA18" s="536"/>
      <c r="AB18" s="536"/>
      <c r="AC18" s="536"/>
      <c r="AD18" s="536"/>
      <c r="AE18" s="536"/>
      <c r="AF18" s="536"/>
      <c r="AG18" s="536"/>
    </row>
    <row r="19">
      <c r="B19" s="640" t="s">
        <v>4342</v>
      </c>
      <c r="C19" s="542" t="s">
        <v>4343</v>
      </c>
      <c r="D19" s="641" t="s">
        <v>4344</v>
      </c>
      <c r="E19" s="642" t="s">
        <v>3728</v>
      </c>
      <c r="F19" s="537"/>
      <c r="G19" s="537"/>
      <c r="H19" s="536"/>
      <c r="I19" s="536"/>
      <c r="J19" s="537"/>
      <c r="K19" s="536"/>
      <c r="L19" s="537"/>
      <c r="M19" s="537"/>
      <c r="N19" s="537"/>
      <c r="O19" s="537"/>
      <c r="P19" s="536"/>
      <c r="Q19" s="537"/>
      <c r="R19" s="537"/>
      <c r="S19" s="537"/>
      <c r="T19" s="537"/>
      <c r="U19" s="537"/>
      <c r="V19" s="536"/>
      <c r="W19" s="536"/>
      <c r="X19" s="536"/>
      <c r="Y19" s="536"/>
      <c r="Z19" s="536"/>
      <c r="AA19" s="536"/>
      <c r="AB19" s="536"/>
      <c r="AC19" s="536"/>
      <c r="AD19" s="536"/>
      <c r="AE19" s="536"/>
      <c r="AF19" s="536"/>
      <c r="AG19" s="536"/>
    </row>
    <row r="20">
      <c r="B20" s="640" t="s">
        <v>4342</v>
      </c>
      <c r="C20" s="542" t="s">
        <v>4345</v>
      </c>
      <c r="D20" s="641" t="s">
        <v>4346</v>
      </c>
      <c r="E20" s="642"/>
      <c r="F20" s="537"/>
      <c r="G20" s="537"/>
      <c r="H20" s="536"/>
      <c r="I20" s="536"/>
      <c r="J20" s="537"/>
      <c r="K20" s="536"/>
      <c r="L20" s="537"/>
      <c r="M20" s="537"/>
      <c r="N20" s="537"/>
      <c r="O20" s="537"/>
      <c r="P20" s="536"/>
      <c r="Q20" s="537"/>
      <c r="R20" s="537"/>
      <c r="S20" s="537"/>
      <c r="T20" s="537"/>
      <c r="U20" s="537"/>
      <c r="V20" s="536"/>
      <c r="W20" s="536"/>
      <c r="X20" s="536"/>
      <c r="Y20" s="536"/>
      <c r="Z20" s="536"/>
      <c r="AA20" s="536"/>
      <c r="AB20" s="536"/>
      <c r="AC20" s="536"/>
      <c r="AD20" s="536"/>
      <c r="AE20" s="536"/>
      <c r="AF20" s="536"/>
      <c r="AG20" s="536"/>
    </row>
    <row r="21">
      <c r="A21" s="643" t="s">
        <v>1390</v>
      </c>
      <c r="B21" s="644" t="s">
        <v>1438</v>
      </c>
      <c r="C21" s="533" t="s">
        <v>4347</v>
      </c>
      <c r="D21" s="645" t="s">
        <v>1631</v>
      </c>
      <c r="E21" s="646" t="s">
        <v>4348</v>
      </c>
      <c r="F21" s="528"/>
      <c r="G21" s="528"/>
      <c r="H21" s="527"/>
      <c r="I21" s="527"/>
      <c r="J21" s="528"/>
      <c r="K21" s="527"/>
      <c r="L21" s="528"/>
      <c r="M21" s="528"/>
      <c r="N21" s="528"/>
      <c r="O21" s="528"/>
      <c r="P21" s="527"/>
      <c r="Q21" s="528"/>
      <c r="R21" s="528"/>
      <c r="S21" s="528"/>
      <c r="T21" s="528"/>
      <c r="U21" s="528"/>
      <c r="V21" s="527"/>
      <c r="W21" s="527"/>
      <c r="X21" s="527"/>
      <c r="Y21" s="527"/>
      <c r="Z21" s="527"/>
      <c r="AA21" s="527"/>
      <c r="AB21" s="527"/>
      <c r="AC21" s="527"/>
      <c r="AD21" s="527"/>
      <c r="AE21" s="527"/>
      <c r="AF21" s="527"/>
      <c r="AG21" s="527"/>
    </row>
    <row r="22">
      <c r="B22" s="644" t="s">
        <v>4349</v>
      </c>
      <c r="C22" s="533" t="s">
        <v>4350</v>
      </c>
      <c r="D22" s="645" t="s">
        <v>1631</v>
      </c>
      <c r="E22" s="646"/>
      <c r="F22" s="528"/>
      <c r="G22" s="528"/>
      <c r="H22" s="527"/>
      <c r="I22" s="527"/>
      <c r="J22" s="528"/>
      <c r="K22" s="527"/>
      <c r="L22" s="528"/>
      <c r="M22" s="528"/>
      <c r="N22" s="528"/>
      <c r="O22" s="528"/>
      <c r="P22" s="527"/>
      <c r="Q22" s="528"/>
      <c r="R22" s="528"/>
      <c r="S22" s="528"/>
      <c r="T22" s="528"/>
      <c r="U22" s="528"/>
      <c r="V22" s="527"/>
      <c r="W22" s="527"/>
      <c r="X22" s="527"/>
      <c r="Y22" s="527"/>
      <c r="Z22" s="527"/>
      <c r="AA22" s="527"/>
      <c r="AB22" s="527"/>
      <c r="AC22" s="527"/>
      <c r="AD22" s="527"/>
      <c r="AE22" s="527"/>
      <c r="AF22" s="527"/>
      <c r="AG22" s="527"/>
    </row>
    <row r="23">
      <c r="B23" s="644" t="s">
        <v>1433</v>
      </c>
      <c r="C23" s="533" t="s">
        <v>4351</v>
      </c>
      <c r="D23" s="645" t="s">
        <v>3771</v>
      </c>
      <c r="E23" s="646"/>
      <c r="F23" s="528"/>
      <c r="G23" s="528"/>
      <c r="H23" s="527"/>
      <c r="I23" s="527"/>
      <c r="J23" s="528"/>
      <c r="K23" s="527"/>
      <c r="L23" s="528"/>
      <c r="M23" s="528"/>
      <c r="N23" s="528"/>
      <c r="O23" s="528"/>
      <c r="P23" s="527"/>
      <c r="Q23" s="528"/>
      <c r="R23" s="528"/>
      <c r="S23" s="528"/>
      <c r="T23" s="528"/>
      <c r="U23" s="528"/>
      <c r="V23" s="527"/>
      <c r="W23" s="527"/>
      <c r="X23" s="527"/>
      <c r="Y23" s="527"/>
      <c r="Z23" s="527"/>
      <c r="AA23" s="527"/>
      <c r="AB23" s="527"/>
      <c r="AC23" s="527"/>
      <c r="AD23" s="527"/>
      <c r="AE23" s="527"/>
      <c r="AF23" s="527"/>
      <c r="AG23" s="527"/>
    </row>
    <row r="24">
      <c r="B24" s="644" t="s">
        <v>4352</v>
      </c>
      <c r="C24" s="533" t="s">
        <v>4353</v>
      </c>
      <c r="D24" s="645" t="s">
        <v>595</v>
      </c>
      <c r="E24" s="646"/>
      <c r="F24" s="528"/>
      <c r="G24" s="528"/>
      <c r="H24" s="527"/>
      <c r="I24" s="527"/>
      <c r="J24" s="528"/>
      <c r="K24" s="527"/>
      <c r="L24" s="528"/>
      <c r="M24" s="528"/>
      <c r="N24" s="528"/>
      <c r="O24" s="528"/>
      <c r="P24" s="527"/>
      <c r="Q24" s="528"/>
      <c r="R24" s="528"/>
      <c r="S24" s="528"/>
      <c r="T24" s="528"/>
      <c r="U24" s="528"/>
      <c r="V24" s="527"/>
      <c r="W24" s="527"/>
      <c r="X24" s="527"/>
      <c r="Y24" s="527"/>
      <c r="Z24" s="527"/>
      <c r="AA24" s="527"/>
      <c r="AB24" s="527"/>
      <c r="AC24" s="527"/>
      <c r="AD24" s="527"/>
      <c r="AE24" s="527"/>
      <c r="AF24" s="527"/>
      <c r="AG24" s="527"/>
    </row>
    <row r="25">
      <c r="B25" s="644" t="s">
        <v>1422</v>
      </c>
      <c r="C25" s="533" t="s">
        <v>4354</v>
      </c>
      <c r="D25" s="645" t="s">
        <v>3868</v>
      </c>
      <c r="E25" s="646" t="s">
        <v>4348</v>
      </c>
      <c r="F25" s="528"/>
      <c r="G25" s="528"/>
      <c r="H25" s="527"/>
      <c r="I25" s="527"/>
      <c r="J25" s="528"/>
      <c r="K25" s="527"/>
      <c r="L25" s="528"/>
      <c r="M25" s="528"/>
      <c r="N25" s="528"/>
      <c r="O25" s="528"/>
      <c r="P25" s="527"/>
      <c r="Q25" s="528"/>
      <c r="R25" s="528"/>
      <c r="S25" s="528"/>
      <c r="T25" s="528"/>
      <c r="U25" s="528"/>
      <c r="V25" s="527"/>
      <c r="W25" s="527"/>
      <c r="X25" s="527"/>
      <c r="Y25" s="527"/>
      <c r="Z25" s="527"/>
      <c r="AA25" s="527"/>
      <c r="AB25" s="527"/>
      <c r="AC25" s="527"/>
      <c r="AD25" s="527"/>
      <c r="AE25" s="527"/>
      <c r="AF25" s="527"/>
      <c r="AG25" s="527"/>
    </row>
    <row r="26">
      <c r="B26" s="644" t="s">
        <v>1417</v>
      </c>
      <c r="C26" s="533" t="s">
        <v>4355</v>
      </c>
      <c r="D26" s="645" t="s">
        <v>173</v>
      </c>
      <c r="E26" s="646"/>
      <c r="F26" s="528"/>
      <c r="G26" s="528"/>
      <c r="H26" s="527"/>
      <c r="I26" s="527"/>
      <c r="J26" s="528"/>
      <c r="K26" s="527"/>
      <c r="L26" s="528"/>
      <c r="M26" s="528"/>
      <c r="N26" s="528"/>
      <c r="O26" s="528"/>
      <c r="P26" s="527"/>
      <c r="Q26" s="528"/>
      <c r="R26" s="528"/>
      <c r="S26" s="528"/>
      <c r="T26" s="528"/>
      <c r="U26" s="528"/>
      <c r="V26" s="527"/>
      <c r="W26" s="527"/>
      <c r="X26" s="527"/>
      <c r="Y26" s="527"/>
      <c r="Z26" s="527"/>
      <c r="AA26" s="527"/>
      <c r="AB26" s="527"/>
      <c r="AC26" s="527"/>
      <c r="AD26" s="527"/>
      <c r="AE26" s="527"/>
      <c r="AF26" s="527"/>
      <c r="AG26" s="527"/>
    </row>
    <row r="27">
      <c r="B27" s="644" t="s">
        <v>1410</v>
      </c>
      <c r="C27" s="533" t="s">
        <v>4356</v>
      </c>
      <c r="D27" s="645" t="s">
        <v>4357</v>
      </c>
      <c r="E27" s="646" t="s">
        <v>4348</v>
      </c>
      <c r="F27" s="528"/>
      <c r="G27" s="528"/>
      <c r="H27" s="527"/>
      <c r="I27" s="527"/>
      <c r="J27" s="528"/>
      <c r="K27" s="527"/>
      <c r="L27" s="528"/>
      <c r="M27" s="528"/>
      <c r="N27" s="528"/>
      <c r="O27" s="528"/>
      <c r="P27" s="527"/>
      <c r="Q27" s="528"/>
      <c r="R27" s="528"/>
      <c r="S27" s="528"/>
      <c r="T27" s="528"/>
      <c r="U27" s="528"/>
      <c r="V27" s="527"/>
      <c r="W27" s="527"/>
      <c r="X27" s="527"/>
      <c r="Y27" s="527"/>
      <c r="Z27" s="527"/>
      <c r="AA27" s="527"/>
      <c r="AB27" s="527"/>
      <c r="AC27" s="527"/>
      <c r="AD27" s="527"/>
      <c r="AE27" s="527"/>
      <c r="AF27" s="527"/>
      <c r="AG27" s="527"/>
    </row>
    <row r="28">
      <c r="B28" s="644" t="s">
        <v>1405</v>
      </c>
      <c r="C28" s="533" t="s">
        <v>4358</v>
      </c>
      <c r="D28" s="645" t="s">
        <v>4359</v>
      </c>
      <c r="E28" s="646" t="s">
        <v>4348</v>
      </c>
      <c r="F28" s="528"/>
      <c r="G28" s="528"/>
      <c r="H28" s="527"/>
      <c r="I28" s="527"/>
      <c r="J28" s="528"/>
      <c r="K28" s="527"/>
      <c r="L28" s="528"/>
      <c r="M28" s="528"/>
      <c r="N28" s="528"/>
      <c r="O28" s="528"/>
      <c r="P28" s="527"/>
      <c r="Q28" s="528"/>
      <c r="R28" s="528"/>
      <c r="S28" s="528"/>
      <c r="T28" s="528"/>
      <c r="U28" s="528"/>
      <c r="V28" s="527"/>
      <c r="W28" s="527"/>
      <c r="X28" s="527"/>
      <c r="Y28" s="527"/>
      <c r="Z28" s="527"/>
      <c r="AA28" s="527"/>
      <c r="AB28" s="527"/>
      <c r="AC28" s="527"/>
      <c r="AD28" s="527"/>
      <c r="AE28" s="527"/>
      <c r="AF28" s="527"/>
      <c r="AG28" s="527"/>
    </row>
    <row r="29">
      <c r="B29" s="644" t="s">
        <v>1401</v>
      </c>
      <c r="C29" s="533" t="s">
        <v>4360</v>
      </c>
      <c r="D29" s="645" t="s">
        <v>4361</v>
      </c>
      <c r="E29" s="646" t="s">
        <v>4348</v>
      </c>
      <c r="F29" s="528"/>
      <c r="G29" s="528"/>
      <c r="H29" s="527"/>
      <c r="I29" s="527"/>
      <c r="J29" s="528"/>
      <c r="K29" s="527"/>
      <c r="L29" s="528"/>
      <c r="M29" s="528"/>
      <c r="N29" s="528"/>
      <c r="O29" s="528"/>
      <c r="P29" s="527"/>
      <c r="Q29" s="528"/>
      <c r="R29" s="528"/>
      <c r="S29" s="528"/>
      <c r="T29" s="528"/>
      <c r="U29" s="528"/>
      <c r="V29" s="527"/>
      <c r="W29" s="527"/>
      <c r="X29" s="527"/>
      <c r="Y29" s="527"/>
      <c r="Z29" s="527"/>
      <c r="AA29" s="527"/>
      <c r="AB29" s="527"/>
      <c r="AC29" s="527"/>
      <c r="AD29" s="527"/>
      <c r="AE29" s="527"/>
      <c r="AF29" s="527"/>
      <c r="AG29" s="527"/>
    </row>
    <row r="30">
      <c r="B30" s="644" t="s">
        <v>1396</v>
      </c>
      <c r="C30" s="533" t="s">
        <v>4362</v>
      </c>
      <c r="D30" s="645" t="s">
        <v>4363</v>
      </c>
      <c r="E30" s="646" t="s">
        <v>4348</v>
      </c>
      <c r="F30" s="528"/>
      <c r="G30" s="528"/>
      <c r="H30" s="527"/>
      <c r="I30" s="527"/>
      <c r="J30" s="528"/>
      <c r="K30" s="527"/>
      <c r="L30" s="528"/>
      <c r="M30" s="528"/>
      <c r="N30" s="528"/>
      <c r="O30" s="528"/>
      <c r="P30" s="527"/>
      <c r="Q30" s="528"/>
      <c r="R30" s="528"/>
      <c r="S30" s="528"/>
      <c r="T30" s="528"/>
      <c r="U30" s="528"/>
      <c r="V30" s="527"/>
      <c r="W30" s="527"/>
      <c r="X30" s="527"/>
      <c r="Y30" s="527"/>
      <c r="Z30" s="527"/>
      <c r="AA30" s="527"/>
      <c r="AB30" s="527"/>
      <c r="AC30" s="527"/>
      <c r="AD30" s="527"/>
      <c r="AE30" s="527"/>
      <c r="AF30" s="527"/>
      <c r="AG30" s="527"/>
    </row>
    <row r="31">
      <c r="B31" s="644" t="s">
        <v>1391</v>
      </c>
      <c r="C31" s="533" t="s">
        <v>4364</v>
      </c>
      <c r="D31" s="645" t="s">
        <v>123</v>
      </c>
      <c r="E31" s="646"/>
      <c r="F31" s="528"/>
      <c r="G31" s="528"/>
      <c r="H31" s="527"/>
      <c r="I31" s="527"/>
      <c r="J31" s="528"/>
      <c r="K31" s="527"/>
      <c r="L31" s="528"/>
      <c r="M31" s="528"/>
      <c r="N31" s="528"/>
      <c r="O31" s="528"/>
      <c r="P31" s="527"/>
      <c r="Q31" s="528"/>
      <c r="R31" s="528"/>
      <c r="S31" s="528"/>
      <c r="T31" s="528"/>
      <c r="U31" s="528"/>
      <c r="V31" s="527"/>
      <c r="W31" s="527"/>
      <c r="X31" s="527"/>
      <c r="Y31" s="527"/>
      <c r="Z31" s="527"/>
      <c r="AA31" s="527"/>
      <c r="AB31" s="527"/>
      <c r="AC31" s="527"/>
      <c r="AD31" s="527"/>
      <c r="AE31" s="527"/>
      <c r="AF31" s="527"/>
      <c r="AG31" s="527"/>
    </row>
    <row r="32">
      <c r="A32" s="639" t="s">
        <v>1637</v>
      </c>
      <c r="B32" s="640" t="s">
        <v>1835</v>
      </c>
      <c r="C32" s="542" t="s">
        <v>4365</v>
      </c>
      <c r="D32" s="641" t="s">
        <v>4366</v>
      </c>
      <c r="E32" s="642" t="s">
        <v>1263</v>
      </c>
      <c r="F32" s="537"/>
      <c r="G32" s="537"/>
      <c r="H32" s="536"/>
      <c r="I32" s="536"/>
      <c r="J32" s="537"/>
      <c r="K32" s="536"/>
      <c r="L32" s="537"/>
      <c r="M32" s="537"/>
      <c r="N32" s="537"/>
      <c r="O32" s="537"/>
      <c r="P32" s="536"/>
      <c r="Q32" s="537"/>
      <c r="R32" s="537"/>
      <c r="S32" s="537"/>
      <c r="T32" s="537"/>
      <c r="U32" s="537"/>
      <c r="V32" s="536"/>
      <c r="W32" s="536"/>
      <c r="X32" s="536"/>
      <c r="Y32" s="536"/>
      <c r="Z32" s="536"/>
      <c r="AA32" s="536"/>
      <c r="AB32" s="536"/>
      <c r="AC32" s="536"/>
      <c r="AD32" s="536"/>
      <c r="AE32" s="536"/>
      <c r="AF32" s="536"/>
      <c r="AG32" s="536"/>
    </row>
    <row r="33">
      <c r="B33" s="640" t="s">
        <v>1830</v>
      </c>
      <c r="C33" s="542" t="s">
        <v>4367</v>
      </c>
      <c r="D33" s="641" t="s">
        <v>4368</v>
      </c>
      <c r="E33" s="642" t="s">
        <v>1263</v>
      </c>
      <c r="F33" s="537"/>
      <c r="G33" s="537"/>
      <c r="H33" s="536"/>
      <c r="I33" s="536"/>
      <c r="J33" s="537"/>
      <c r="K33" s="536"/>
      <c r="L33" s="537"/>
      <c r="M33" s="537"/>
      <c r="N33" s="537"/>
      <c r="O33" s="537"/>
      <c r="P33" s="536"/>
      <c r="Q33" s="537"/>
      <c r="R33" s="537"/>
      <c r="S33" s="537"/>
      <c r="T33" s="537"/>
      <c r="U33" s="537"/>
      <c r="V33" s="536"/>
      <c r="W33" s="536"/>
      <c r="X33" s="536"/>
      <c r="Y33" s="536"/>
      <c r="Z33" s="536"/>
      <c r="AA33" s="536"/>
      <c r="AB33" s="536"/>
      <c r="AC33" s="536"/>
      <c r="AD33" s="536"/>
      <c r="AE33" s="536"/>
      <c r="AF33" s="536"/>
      <c r="AG33" s="536"/>
    </row>
    <row r="34">
      <c r="B34" s="640" t="s">
        <v>1825</v>
      </c>
      <c r="C34" s="542" t="s">
        <v>4369</v>
      </c>
      <c r="D34" s="641" t="s">
        <v>4370</v>
      </c>
      <c r="E34" s="642" t="s">
        <v>1263</v>
      </c>
      <c r="F34" s="537"/>
      <c r="G34" s="537"/>
      <c r="H34" s="536"/>
      <c r="I34" s="536"/>
      <c r="J34" s="537"/>
      <c r="K34" s="536"/>
      <c r="L34" s="537"/>
      <c r="M34" s="537"/>
      <c r="N34" s="537"/>
      <c r="O34" s="537"/>
      <c r="P34" s="536"/>
      <c r="Q34" s="537"/>
      <c r="R34" s="537"/>
      <c r="S34" s="537"/>
      <c r="T34" s="537"/>
      <c r="U34" s="537"/>
      <c r="V34" s="536"/>
      <c r="W34" s="536"/>
      <c r="X34" s="536"/>
      <c r="Y34" s="536"/>
      <c r="Z34" s="536"/>
      <c r="AA34" s="536"/>
      <c r="AB34" s="536"/>
      <c r="AC34" s="536"/>
      <c r="AD34" s="536"/>
      <c r="AE34" s="536"/>
      <c r="AF34" s="536"/>
      <c r="AG34" s="536"/>
    </row>
    <row r="35">
      <c r="B35" s="640" t="s">
        <v>1820</v>
      </c>
      <c r="C35" s="542" t="s">
        <v>4371</v>
      </c>
      <c r="D35" s="641" t="s">
        <v>3805</v>
      </c>
      <c r="E35" s="647"/>
      <c r="F35" s="537"/>
      <c r="G35" s="537"/>
      <c r="H35" s="536"/>
      <c r="I35" s="536"/>
      <c r="J35" s="537"/>
      <c r="K35" s="536"/>
      <c r="L35" s="537"/>
      <c r="M35" s="537"/>
      <c r="N35" s="537"/>
      <c r="O35" s="537"/>
      <c r="P35" s="536"/>
      <c r="Q35" s="537"/>
      <c r="R35" s="537"/>
      <c r="S35" s="537"/>
      <c r="T35" s="537"/>
      <c r="U35" s="537"/>
      <c r="V35" s="536"/>
      <c r="W35" s="536"/>
      <c r="X35" s="536"/>
      <c r="Y35" s="536"/>
      <c r="Z35" s="536"/>
      <c r="AA35" s="536"/>
      <c r="AB35" s="536"/>
      <c r="AC35" s="536"/>
      <c r="AD35" s="536"/>
      <c r="AE35" s="536"/>
      <c r="AF35" s="536"/>
      <c r="AG35" s="536"/>
    </row>
    <row r="36">
      <c r="B36" s="640" t="s">
        <v>1815</v>
      </c>
      <c r="C36" s="542" t="s">
        <v>4372</v>
      </c>
      <c r="D36" s="641" t="s">
        <v>4373</v>
      </c>
      <c r="E36" s="647"/>
      <c r="F36" s="537"/>
      <c r="G36" s="537"/>
      <c r="H36" s="536"/>
      <c r="I36" s="536"/>
      <c r="J36" s="537"/>
      <c r="K36" s="536"/>
      <c r="L36" s="537"/>
      <c r="M36" s="537"/>
      <c r="N36" s="537"/>
      <c r="O36" s="537"/>
      <c r="P36" s="536"/>
      <c r="Q36" s="537"/>
      <c r="R36" s="537"/>
      <c r="S36" s="537"/>
      <c r="T36" s="537"/>
      <c r="U36" s="537"/>
      <c r="V36" s="536"/>
      <c r="W36" s="536"/>
      <c r="X36" s="536"/>
      <c r="Y36" s="536"/>
      <c r="Z36" s="536"/>
      <c r="AA36" s="536"/>
      <c r="AB36" s="536"/>
      <c r="AC36" s="536"/>
      <c r="AD36" s="536"/>
      <c r="AE36" s="536"/>
      <c r="AF36" s="536"/>
      <c r="AG36" s="536"/>
    </row>
    <row r="37">
      <c r="B37" s="640" t="s">
        <v>1810</v>
      </c>
      <c r="C37" s="542" t="s">
        <v>4374</v>
      </c>
      <c r="D37" s="641" t="s">
        <v>4375</v>
      </c>
      <c r="E37" s="647"/>
      <c r="F37" s="537"/>
      <c r="G37" s="537"/>
      <c r="H37" s="536"/>
      <c r="I37" s="536"/>
      <c r="J37" s="537"/>
      <c r="K37" s="536"/>
      <c r="L37" s="537"/>
      <c r="M37" s="537"/>
      <c r="N37" s="537"/>
      <c r="O37" s="537"/>
      <c r="P37" s="536"/>
      <c r="Q37" s="537"/>
      <c r="R37" s="537"/>
      <c r="S37" s="537"/>
      <c r="T37" s="537"/>
      <c r="U37" s="537"/>
      <c r="V37" s="536"/>
      <c r="W37" s="536"/>
      <c r="X37" s="536"/>
      <c r="Y37" s="536"/>
      <c r="Z37" s="536"/>
      <c r="AA37" s="536"/>
      <c r="AB37" s="536"/>
      <c r="AC37" s="536"/>
      <c r="AD37" s="536"/>
      <c r="AE37" s="536"/>
      <c r="AF37" s="536"/>
      <c r="AG37" s="536"/>
    </row>
    <row r="38">
      <c r="B38" s="640" t="s">
        <v>1809</v>
      </c>
      <c r="C38" s="537"/>
      <c r="D38" s="641" t="s">
        <v>4376</v>
      </c>
      <c r="E38" s="642" t="s">
        <v>4317</v>
      </c>
      <c r="F38" s="537"/>
      <c r="G38" s="537"/>
      <c r="H38" s="536"/>
      <c r="I38" s="536"/>
      <c r="J38" s="537"/>
      <c r="K38" s="536"/>
      <c r="L38" s="537"/>
      <c r="M38" s="537"/>
      <c r="N38" s="537"/>
      <c r="O38" s="537"/>
      <c r="P38" s="536"/>
      <c r="Q38" s="537"/>
      <c r="R38" s="537"/>
      <c r="S38" s="537"/>
      <c r="T38" s="537"/>
      <c r="U38" s="537"/>
      <c r="V38" s="536"/>
      <c r="W38" s="536"/>
      <c r="X38" s="536"/>
      <c r="Y38" s="536"/>
      <c r="Z38" s="536"/>
      <c r="AA38" s="536"/>
      <c r="AB38" s="536"/>
      <c r="AC38" s="536"/>
      <c r="AD38" s="536"/>
      <c r="AE38" s="536"/>
      <c r="AF38" s="536"/>
      <c r="AG38" s="536"/>
    </row>
    <row r="39">
      <c r="B39" s="640" t="s">
        <v>1804</v>
      </c>
      <c r="C39" s="542" t="s">
        <v>4377</v>
      </c>
      <c r="D39" s="641" t="s">
        <v>4378</v>
      </c>
      <c r="E39" s="642" t="s">
        <v>3728</v>
      </c>
      <c r="F39" s="537"/>
      <c r="G39" s="537"/>
      <c r="H39" s="536"/>
      <c r="I39" s="536"/>
      <c r="J39" s="537"/>
      <c r="K39" s="536"/>
      <c r="L39" s="537"/>
      <c r="M39" s="537"/>
      <c r="N39" s="537"/>
      <c r="O39" s="537"/>
      <c r="P39" s="536"/>
      <c r="Q39" s="537"/>
      <c r="R39" s="537"/>
      <c r="S39" s="537"/>
      <c r="T39" s="537"/>
      <c r="U39" s="537"/>
      <c r="V39" s="536"/>
      <c r="W39" s="536"/>
      <c r="X39" s="536"/>
      <c r="Y39" s="536"/>
      <c r="Z39" s="536"/>
      <c r="AA39" s="536"/>
      <c r="AB39" s="536"/>
      <c r="AC39" s="536"/>
      <c r="AD39" s="536"/>
      <c r="AE39" s="536"/>
      <c r="AF39" s="536"/>
      <c r="AG39" s="536"/>
    </row>
    <row r="40">
      <c r="B40" s="640" t="s">
        <v>1799</v>
      </c>
      <c r="C40" s="542" t="s">
        <v>4379</v>
      </c>
      <c r="D40" s="641" t="s">
        <v>4316</v>
      </c>
      <c r="E40" s="647"/>
      <c r="F40" s="537"/>
      <c r="G40" s="537"/>
      <c r="H40" s="536"/>
      <c r="I40" s="536"/>
      <c r="J40" s="537"/>
      <c r="K40" s="536"/>
      <c r="L40" s="537"/>
      <c r="M40" s="537"/>
      <c r="N40" s="537"/>
      <c r="O40" s="537"/>
      <c r="P40" s="536"/>
      <c r="Q40" s="537"/>
      <c r="R40" s="537"/>
      <c r="S40" s="537"/>
      <c r="T40" s="537"/>
      <c r="U40" s="537"/>
      <c r="V40" s="536"/>
      <c r="W40" s="536"/>
      <c r="X40" s="536"/>
      <c r="Y40" s="536"/>
      <c r="Z40" s="536"/>
      <c r="AA40" s="536"/>
      <c r="AB40" s="536"/>
      <c r="AC40" s="536"/>
      <c r="AD40" s="536"/>
      <c r="AE40" s="536"/>
      <c r="AF40" s="536"/>
      <c r="AG40" s="536"/>
    </row>
    <row r="41">
      <c r="B41" s="640" t="s">
        <v>1794</v>
      </c>
      <c r="C41" s="542" t="s">
        <v>4380</v>
      </c>
      <c r="D41" s="641" t="s">
        <v>4318</v>
      </c>
      <c r="E41" s="647"/>
      <c r="F41" s="537"/>
      <c r="G41" s="537"/>
      <c r="H41" s="536"/>
      <c r="I41" s="536"/>
      <c r="J41" s="537"/>
      <c r="K41" s="536"/>
      <c r="L41" s="537"/>
      <c r="M41" s="537"/>
      <c r="N41" s="537"/>
      <c r="O41" s="537"/>
      <c r="P41" s="536"/>
      <c r="Q41" s="537"/>
      <c r="R41" s="537"/>
      <c r="S41" s="537"/>
      <c r="T41" s="537"/>
      <c r="U41" s="537"/>
      <c r="V41" s="536"/>
      <c r="W41" s="536"/>
      <c r="X41" s="536"/>
      <c r="Y41" s="536"/>
      <c r="Z41" s="536"/>
      <c r="AA41" s="536"/>
      <c r="AB41" s="536"/>
      <c r="AC41" s="536"/>
      <c r="AD41" s="536"/>
      <c r="AE41" s="536"/>
      <c r="AF41" s="536"/>
      <c r="AG41" s="536"/>
    </row>
    <row r="42">
      <c r="B42" s="640" t="s">
        <v>1793</v>
      </c>
      <c r="C42" s="537"/>
      <c r="D42" s="641" t="s">
        <v>4381</v>
      </c>
      <c r="E42" s="642" t="s">
        <v>4317</v>
      </c>
      <c r="F42" s="537"/>
      <c r="G42" s="537"/>
      <c r="H42" s="536"/>
      <c r="I42" s="536"/>
      <c r="J42" s="537"/>
      <c r="K42" s="536"/>
      <c r="L42" s="537"/>
      <c r="M42" s="537"/>
      <c r="N42" s="537"/>
      <c r="O42" s="537"/>
      <c r="P42" s="536"/>
      <c r="Q42" s="537"/>
      <c r="R42" s="537"/>
      <c r="S42" s="537"/>
      <c r="T42" s="537"/>
      <c r="U42" s="537"/>
      <c r="V42" s="536"/>
      <c r="W42" s="536"/>
      <c r="X42" s="536"/>
      <c r="Y42" s="536"/>
      <c r="Z42" s="536"/>
      <c r="AA42" s="536"/>
      <c r="AB42" s="536"/>
      <c r="AC42" s="536"/>
      <c r="AD42" s="536"/>
      <c r="AE42" s="536"/>
      <c r="AF42" s="536"/>
      <c r="AG42" s="536"/>
    </row>
    <row r="43">
      <c r="B43" s="640" t="s">
        <v>1788</v>
      </c>
      <c r="C43" s="542" t="s">
        <v>4382</v>
      </c>
      <c r="D43" s="641" t="s">
        <v>4383</v>
      </c>
      <c r="E43" s="642" t="s">
        <v>3728</v>
      </c>
      <c r="F43" s="537"/>
      <c r="G43" s="537"/>
      <c r="H43" s="536"/>
      <c r="I43" s="536"/>
      <c r="J43" s="537"/>
      <c r="K43" s="536"/>
      <c r="L43" s="537"/>
      <c r="M43" s="537"/>
      <c r="N43" s="537"/>
      <c r="O43" s="537"/>
      <c r="P43" s="536"/>
      <c r="Q43" s="537"/>
      <c r="R43" s="537"/>
      <c r="S43" s="537"/>
      <c r="T43" s="537"/>
      <c r="U43" s="537"/>
      <c r="V43" s="536"/>
      <c r="W43" s="536"/>
      <c r="X43" s="536"/>
      <c r="Y43" s="536"/>
      <c r="Z43" s="536"/>
      <c r="AA43" s="536"/>
      <c r="AB43" s="536"/>
      <c r="AC43" s="536"/>
      <c r="AD43" s="536"/>
      <c r="AE43" s="536"/>
      <c r="AF43" s="536"/>
      <c r="AG43" s="536"/>
    </row>
    <row r="44">
      <c r="B44" s="640" t="s">
        <v>1783</v>
      </c>
      <c r="C44" s="542" t="s">
        <v>4384</v>
      </c>
      <c r="D44" s="641" t="s">
        <v>3825</v>
      </c>
      <c r="E44" s="647"/>
      <c r="F44" s="537"/>
      <c r="G44" s="537"/>
      <c r="H44" s="536"/>
      <c r="I44" s="536"/>
      <c r="J44" s="537"/>
      <c r="K44" s="536"/>
      <c r="L44" s="537"/>
      <c r="M44" s="537"/>
      <c r="N44" s="537"/>
      <c r="O44" s="537"/>
      <c r="P44" s="536"/>
      <c r="Q44" s="537"/>
      <c r="R44" s="537"/>
      <c r="S44" s="537"/>
      <c r="T44" s="537"/>
      <c r="U44" s="537"/>
      <c r="V44" s="536"/>
      <c r="W44" s="536"/>
      <c r="X44" s="536"/>
      <c r="Y44" s="536"/>
      <c r="Z44" s="536"/>
      <c r="AA44" s="536"/>
      <c r="AB44" s="536"/>
      <c r="AC44" s="536"/>
      <c r="AD44" s="536"/>
      <c r="AE44" s="536"/>
      <c r="AF44" s="536"/>
      <c r="AG44" s="536"/>
    </row>
    <row r="45">
      <c r="B45" s="640" t="s">
        <v>1777</v>
      </c>
      <c r="C45" s="542" t="s">
        <v>4385</v>
      </c>
      <c r="D45" s="641" t="s">
        <v>875</v>
      </c>
      <c r="E45" s="642" t="s">
        <v>4348</v>
      </c>
      <c r="F45" s="537"/>
      <c r="G45" s="537"/>
      <c r="H45" s="536"/>
      <c r="I45" s="536"/>
      <c r="J45" s="537"/>
      <c r="K45" s="536"/>
      <c r="L45" s="537"/>
      <c r="M45" s="537"/>
      <c r="N45" s="537"/>
      <c r="O45" s="537"/>
      <c r="P45" s="536"/>
      <c r="Q45" s="537"/>
      <c r="R45" s="537"/>
      <c r="S45" s="537"/>
      <c r="T45" s="537"/>
      <c r="U45" s="537"/>
      <c r="V45" s="536"/>
      <c r="W45" s="536"/>
      <c r="X45" s="536"/>
      <c r="Y45" s="536"/>
      <c r="Z45" s="536"/>
      <c r="AA45" s="536"/>
      <c r="AB45" s="536"/>
      <c r="AC45" s="536"/>
      <c r="AD45" s="536"/>
      <c r="AE45" s="536"/>
      <c r="AF45" s="536"/>
      <c r="AG45" s="536"/>
    </row>
    <row r="46">
      <c r="B46" s="640" t="s">
        <v>1772</v>
      </c>
      <c r="C46" s="542" t="s">
        <v>4386</v>
      </c>
      <c r="D46" s="641" t="s">
        <v>4387</v>
      </c>
      <c r="E46" s="642" t="s">
        <v>3728</v>
      </c>
      <c r="F46" s="537"/>
      <c r="G46" s="537"/>
      <c r="H46" s="536"/>
      <c r="I46" s="536"/>
      <c r="J46" s="537"/>
      <c r="K46" s="536"/>
      <c r="L46" s="537"/>
      <c r="M46" s="537"/>
      <c r="N46" s="537"/>
      <c r="O46" s="537"/>
      <c r="P46" s="536"/>
      <c r="Q46" s="537"/>
      <c r="R46" s="537"/>
      <c r="S46" s="537"/>
      <c r="T46" s="537"/>
      <c r="U46" s="537"/>
      <c r="V46" s="536"/>
      <c r="W46" s="536"/>
      <c r="X46" s="536"/>
      <c r="Y46" s="536"/>
      <c r="Z46" s="536"/>
      <c r="AA46" s="536"/>
      <c r="AB46" s="536"/>
      <c r="AC46" s="536"/>
      <c r="AD46" s="536"/>
      <c r="AE46" s="536"/>
      <c r="AF46" s="536"/>
      <c r="AG46" s="536"/>
    </row>
    <row r="47">
      <c r="B47" s="640" t="s">
        <v>1771</v>
      </c>
      <c r="C47" s="537"/>
      <c r="D47" s="641" t="s">
        <v>4388</v>
      </c>
      <c r="E47" s="642" t="s">
        <v>4317</v>
      </c>
      <c r="F47" s="537"/>
      <c r="G47" s="537"/>
      <c r="H47" s="536"/>
      <c r="I47" s="536"/>
      <c r="J47" s="537"/>
      <c r="K47" s="536"/>
      <c r="L47" s="537"/>
      <c r="M47" s="537"/>
      <c r="N47" s="537"/>
      <c r="O47" s="537"/>
      <c r="P47" s="536"/>
      <c r="Q47" s="537"/>
      <c r="R47" s="537"/>
      <c r="S47" s="537"/>
      <c r="T47" s="537"/>
      <c r="U47" s="537"/>
      <c r="V47" s="536"/>
      <c r="W47" s="536"/>
      <c r="X47" s="536"/>
      <c r="Y47" s="536"/>
      <c r="Z47" s="536"/>
      <c r="AA47" s="536"/>
      <c r="AB47" s="536"/>
      <c r="AC47" s="536"/>
      <c r="AD47" s="536"/>
      <c r="AE47" s="536"/>
      <c r="AF47" s="536"/>
      <c r="AG47" s="536"/>
    </row>
    <row r="48">
      <c r="B48" s="640" t="s">
        <v>1766</v>
      </c>
      <c r="C48" s="542" t="s">
        <v>4389</v>
      </c>
      <c r="D48" s="641" t="s">
        <v>4390</v>
      </c>
      <c r="E48" s="642" t="s">
        <v>1263</v>
      </c>
      <c r="F48" s="537"/>
      <c r="G48" s="537"/>
      <c r="H48" s="536"/>
      <c r="I48" s="536"/>
      <c r="J48" s="537"/>
      <c r="K48" s="536"/>
      <c r="L48" s="537"/>
      <c r="M48" s="537"/>
      <c r="N48" s="537"/>
      <c r="O48" s="537"/>
      <c r="P48" s="536"/>
      <c r="Q48" s="537"/>
      <c r="R48" s="537"/>
      <c r="S48" s="537"/>
      <c r="T48" s="537"/>
      <c r="U48" s="537"/>
      <c r="V48" s="536"/>
      <c r="W48" s="536"/>
      <c r="X48" s="536"/>
      <c r="Y48" s="536"/>
      <c r="Z48" s="536"/>
      <c r="AA48" s="536"/>
      <c r="AB48" s="536"/>
      <c r="AC48" s="536"/>
      <c r="AD48" s="536"/>
      <c r="AE48" s="536"/>
      <c r="AF48" s="536"/>
      <c r="AG48" s="536"/>
    </row>
    <row r="49">
      <c r="B49" s="640" t="s">
        <v>1761</v>
      </c>
      <c r="C49" s="542" t="s">
        <v>4391</v>
      </c>
      <c r="D49" s="641" t="s">
        <v>4392</v>
      </c>
      <c r="E49" s="647"/>
      <c r="F49" s="537"/>
      <c r="G49" s="537"/>
      <c r="H49" s="536"/>
      <c r="I49" s="536"/>
      <c r="J49" s="537"/>
      <c r="K49" s="536"/>
      <c r="L49" s="537"/>
      <c r="M49" s="537"/>
      <c r="N49" s="537"/>
      <c r="O49" s="537"/>
      <c r="P49" s="536"/>
      <c r="Q49" s="537"/>
      <c r="R49" s="537"/>
      <c r="S49" s="537"/>
      <c r="T49" s="537"/>
      <c r="U49" s="537"/>
      <c r="V49" s="536"/>
      <c r="W49" s="536"/>
      <c r="X49" s="536"/>
      <c r="Y49" s="536"/>
      <c r="Z49" s="536"/>
      <c r="AA49" s="536"/>
      <c r="AB49" s="536"/>
      <c r="AC49" s="536"/>
      <c r="AD49" s="536"/>
      <c r="AE49" s="536"/>
      <c r="AF49" s="536"/>
      <c r="AG49" s="536"/>
    </row>
    <row r="50">
      <c r="B50" s="640" t="s">
        <v>1755</v>
      </c>
      <c r="C50" s="542" t="s">
        <v>4393</v>
      </c>
      <c r="D50" s="641" t="s">
        <v>4394</v>
      </c>
      <c r="E50" s="642" t="s">
        <v>4348</v>
      </c>
      <c r="F50" s="537"/>
      <c r="G50" s="537"/>
      <c r="H50" s="536"/>
      <c r="I50" s="536"/>
      <c r="J50" s="537"/>
      <c r="K50" s="536"/>
      <c r="L50" s="537"/>
      <c r="M50" s="537"/>
      <c r="N50" s="537"/>
      <c r="O50" s="537"/>
      <c r="P50" s="536"/>
      <c r="Q50" s="537"/>
      <c r="R50" s="537"/>
      <c r="S50" s="537"/>
      <c r="T50" s="537"/>
      <c r="U50" s="537"/>
      <c r="V50" s="536"/>
      <c r="W50" s="536"/>
      <c r="X50" s="536"/>
      <c r="Y50" s="536"/>
      <c r="Z50" s="536"/>
      <c r="AA50" s="536"/>
      <c r="AB50" s="536"/>
      <c r="AC50" s="536"/>
      <c r="AD50" s="536"/>
      <c r="AE50" s="536"/>
      <c r="AF50" s="536"/>
      <c r="AG50" s="536"/>
    </row>
    <row r="51">
      <c r="B51" s="640" t="s">
        <v>1750</v>
      </c>
      <c r="C51" s="542" t="s">
        <v>4395</v>
      </c>
      <c r="D51" s="641" t="s">
        <v>4396</v>
      </c>
      <c r="E51" s="647"/>
      <c r="F51" s="537"/>
      <c r="G51" s="537"/>
      <c r="H51" s="536"/>
      <c r="I51" s="536"/>
      <c r="J51" s="537"/>
      <c r="K51" s="536"/>
      <c r="L51" s="537"/>
      <c r="M51" s="537"/>
      <c r="N51" s="537"/>
      <c r="O51" s="537"/>
      <c r="P51" s="536"/>
      <c r="Q51" s="537"/>
      <c r="R51" s="537"/>
      <c r="S51" s="537"/>
      <c r="T51" s="537"/>
      <c r="U51" s="537"/>
      <c r="V51" s="536"/>
      <c r="W51" s="536"/>
      <c r="X51" s="536"/>
      <c r="Y51" s="536"/>
      <c r="Z51" s="536"/>
      <c r="AA51" s="536"/>
      <c r="AB51" s="536"/>
      <c r="AC51" s="536"/>
      <c r="AD51" s="536"/>
      <c r="AE51" s="536"/>
      <c r="AF51" s="536"/>
      <c r="AG51" s="536"/>
    </row>
    <row r="52">
      <c r="B52" s="640" t="s">
        <v>1746</v>
      </c>
      <c r="C52" s="542" t="s">
        <v>4397</v>
      </c>
      <c r="D52" s="641" t="s">
        <v>4398</v>
      </c>
      <c r="E52" s="642" t="s">
        <v>3728</v>
      </c>
      <c r="F52" s="537"/>
      <c r="G52" s="537"/>
      <c r="H52" s="536"/>
      <c r="I52" s="536"/>
      <c r="J52" s="537"/>
      <c r="K52" s="536"/>
      <c r="L52" s="537"/>
      <c r="M52" s="537"/>
      <c r="N52" s="537"/>
      <c r="O52" s="537"/>
      <c r="P52" s="536"/>
      <c r="Q52" s="537"/>
      <c r="R52" s="537"/>
      <c r="S52" s="537"/>
      <c r="T52" s="537"/>
      <c r="U52" s="537"/>
      <c r="V52" s="536"/>
      <c r="W52" s="536"/>
      <c r="X52" s="536"/>
      <c r="Y52" s="536"/>
      <c r="Z52" s="536"/>
      <c r="AA52" s="536"/>
      <c r="AB52" s="536"/>
      <c r="AC52" s="536"/>
      <c r="AD52" s="536"/>
      <c r="AE52" s="536"/>
      <c r="AF52" s="536"/>
      <c r="AG52" s="536"/>
    </row>
    <row r="53">
      <c r="B53" s="640" t="s">
        <v>1741</v>
      </c>
      <c r="C53" s="542" t="s">
        <v>4399</v>
      </c>
      <c r="D53" s="641" t="s">
        <v>3843</v>
      </c>
      <c r="E53" s="647"/>
      <c r="F53" s="537"/>
      <c r="G53" s="537"/>
      <c r="H53" s="536"/>
      <c r="I53" s="536"/>
      <c r="J53" s="537"/>
      <c r="K53" s="536"/>
      <c r="L53" s="537"/>
      <c r="M53" s="537"/>
      <c r="N53" s="537"/>
      <c r="O53" s="537"/>
      <c r="P53" s="536"/>
      <c r="Q53" s="537"/>
      <c r="R53" s="537"/>
      <c r="S53" s="537"/>
      <c r="T53" s="537"/>
      <c r="U53" s="537"/>
      <c r="V53" s="536"/>
      <c r="W53" s="536"/>
      <c r="X53" s="536"/>
      <c r="Y53" s="536"/>
      <c r="Z53" s="536"/>
      <c r="AA53" s="536"/>
      <c r="AB53" s="536"/>
      <c r="AC53" s="536"/>
      <c r="AD53" s="536"/>
      <c r="AE53" s="536"/>
      <c r="AF53" s="536"/>
      <c r="AG53" s="536"/>
    </row>
    <row r="54">
      <c r="B54" s="640" t="s">
        <v>1736</v>
      </c>
      <c r="C54" s="542" t="s">
        <v>4400</v>
      </c>
      <c r="D54" s="641" t="s">
        <v>1948</v>
      </c>
      <c r="E54" s="642" t="s">
        <v>4348</v>
      </c>
      <c r="F54" s="537"/>
      <c r="G54" s="537"/>
      <c r="H54" s="536"/>
      <c r="I54" s="536"/>
      <c r="J54" s="537"/>
      <c r="K54" s="536"/>
      <c r="L54" s="537"/>
      <c r="M54" s="537"/>
      <c r="N54" s="537"/>
      <c r="O54" s="537"/>
      <c r="P54" s="536"/>
      <c r="Q54" s="537"/>
      <c r="R54" s="537"/>
      <c r="S54" s="537"/>
      <c r="T54" s="537"/>
      <c r="U54" s="537"/>
      <c r="V54" s="536"/>
      <c r="W54" s="536"/>
      <c r="X54" s="536"/>
      <c r="Y54" s="536"/>
      <c r="Z54" s="536"/>
      <c r="AA54" s="536"/>
      <c r="AB54" s="536"/>
      <c r="AC54" s="536"/>
      <c r="AD54" s="536"/>
      <c r="AE54" s="536"/>
      <c r="AF54" s="536"/>
      <c r="AG54" s="536"/>
    </row>
    <row r="55">
      <c r="B55" s="640" t="s">
        <v>1734</v>
      </c>
      <c r="C55" s="537"/>
      <c r="D55" s="641" t="s">
        <v>3847</v>
      </c>
      <c r="E55" s="642" t="s">
        <v>4317</v>
      </c>
      <c r="F55" s="537"/>
      <c r="G55" s="537"/>
      <c r="H55" s="536"/>
      <c r="I55" s="536"/>
      <c r="J55" s="537"/>
      <c r="K55" s="536"/>
      <c r="L55" s="537"/>
      <c r="M55" s="537"/>
      <c r="N55" s="537"/>
      <c r="O55" s="537"/>
      <c r="P55" s="536"/>
      <c r="Q55" s="537"/>
      <c r="R55" s="537"/>
      <c r="S55" s="537"/>
      <c r="T55" s="537"/>
      <c r="U55" s="537"/>
      <c r="V55" s="536"/>
      <c r="W55" s="536"/>
      <c r="X55" s="536"/>
      <c r="Y55" s="536"/>
      <c r="Z55" s="536"/>
      <c r="AA55" s="536"/>
      <c r="AB55" s="536"/>
      <c r="AC55" s="536"/>
      <c r="AD55" s="536"/>
      <c r="AE55" s="536"/>
      <c r="AF55" s="536"/>
      <c r="AG55" s="536"/>
    </row>
    <row r="56">
      <c r="B56" s="640" t="s">
        <v>1729</v>
      </c>
      <c r="C56" s="542" t="s">
        <v>4401</v>
      </c>
      <c r="D56" s="641" t="s">
        <v>4402</v>
      </c>
      <c r="E56" s="642" t="s">
        <v>1263</v>
      </c>
      <c r="F56" s="537"/>
      <c r="G56" s="537"/>
      <c r="H56" s="536"/>
      <c r="I56" s="536"/>
      <c r="J56" s="537"/>
      <c r="K56" s="536"/>
      <c r="L56" s="537"/>
      <c r="M56" s="537"/>
      <c r="N56" s="537"/>
      <c r="O56" s="537"/>
      <c r="P56" s="536"/>
      <c r="Q56" s="537"/>
      <c r="R56" s="537"/>
      <c r="S56" s="537"/>
      <c r="T56" s="537"/>
      <c r="U56" s="537"/>
      <c r="V56" s="536"/>
      <c r="W56" s="536"/>
      <c r="X56" s="536"/>
      <c r="Y56" s="536"/>
      <c r="Z56" s="536"/>
      <c r="AA56" s="536"/>
      <c r="AB56" s="536"/>
      <c r="AC56" s="536"/>
      <c r="AD56" s="536"/>
      <c r="AE56" s="536"/>
      <c r="AF56" s="536"/>
      <c r="AG56" s="536"/>
    </row>
    <row r="57">
      <c r="B57" s="640" t="s">
        <v>1724</v>
      </c>
      <c r="C57" s="542" t="s">
        <v>4403</v>
      </c>
      <c r="D57" s="641" t="s">
        <v>4404</v>
      </c>
      <c r="E57" s="642" t="s">
        <v>3728</v>
      </c>
      <c r="F57" s="537"/>
      <c r="G57" s="537"/>
      <c r="H57" s="536"/>
      <c r="I57" s="536"/>
      <c r="J57" s="537"/>
      <c r="K57" s="536"/>
      <c r="L57" s="537"/>
      <c r="M57" s="537"/>
      <c r="N57" s="537"/>
      <c r="O57" s="537"/>
      <c r="P57" s="536"/>
      <c r="Q57" s="537"/>
      <c r="R57" s="537"/>
      <c r="S57" s="537"/>
      <c r="T57" s="537"/>
      <c r="U57" s="537"/>
      <c r="V57" s="536"/>
      <c r="W57" s="536"/>
      <c r="X57" s="536"/>
      <c r="Y57" s="536"/>
      <c r="Z57" s="536"/>
      <c r="AA57" s="536"/>
      <c r="AB57" s="536"/>
      <c r="AC57" s="536"/>
      <c r="AD57" s="536"/>
      <c r="AE57" s="536"/>
      <c r="AF57" s="536"/>
      <c r="AG57" s="536"/>
    </row>
    <row r="58">
      <c r="B58" s="640" t="s">
        <v>1719</v>
      </c>
      <c r="C58" s="542" t="s">
        <v>4405</v>
      </c>
      <c r="D58" s="641" t="s">
        <v>4406</v>
      </c>
      <c r="E58" s="642" t="s">
        <v>3728</v>
      </c>
      <c r="F58" s="537"/>
      <c r="G58" s="537"/>
      <c r="H58" s="536"/>
      <c r="I58" s="536"/>
      <c r="J58" s="537"/>
      <c r="K58" s="536"/>
      <c r="L58" s="537"/>
      <c r="M58" s="537"/>
      <c r="N58" s="537"/>
      <c r="O58" s="537"/>
      <c r="P58" s="536"/>
      <c r="Q58" s="537"/>
      <c r="R58" s="537"/>
      <c r="S58" s="537"/>
      <c r="T58" s="537"/>
      <c r="U58" s="537"/>
      <c r="V58" s="536"/>
      <c r="W58" s="536"/>
      <c r="X58" s="536"/>
      <c r="Y58" s="536"/>
      <c r="Z58" s="536"/>
      <c r="AA58" s="536"/>
      <c r="AB58" s="536"/>
      <c r="AC58" s="536"/>
      <c r="AD58" s="536"/>
      <c r="AE58" s="536"/>
      <c r="AF58" s="536"/>
      <c r="AG58" s="536"/>
    </row>
    <row r="59">
      <c r="B59" s="640" t="s">
        <v>1714</v>
      </c>
      <c r="C59" s="542" t="s">
        <v>4407</v>
      </c>
      <c r="D59" s="641" t="s">
        <v>263</v>
      </c>
      <c r="E59" s="642" t="s">
        <v>3728</v>
      </c>
      <c r="F59" s="537"/>
      <c r="G59" s="537"/>
      <c r="H59" s="536"/>
      <c r="I59" s="536"/>
      <c r="J59" s="537"/>
      <c r="K59" s="536"/>
      <c r="L59" s="537"/>
      <c r="M59" s="537"/>
      <c r="N59" s="537"/>
      <c r="O59" s="537"/>
      <c r="P59" s="536"/>
      <c r="Q59" s="537"/>
      <c r="R59" s="537"/>
      <c r="S59" s="537"/>
      <c r="T59" s="537"/>
      <c r="U59" s="537"/>
      <c r="V59" s="536"/>
      <c r="W59" s="536"/>
      <c r="X59" s="536"/>
      <c r="Y59" s="536"/>
      <c r="Z59" s="536"/>
      <c r="AA59" s="536"/>
      <c r="AB59" s="536"/>
      <c r="AC59" s="536"/>
      <c r="AD59" s="536"/>
      <c r="AE59" s="536"/>
      <c r="AF59" s="536"/>
      <c r="AG59" s="536"/>
    </row>
    <row r="60">
      <c r="B60" s="640" t="s">
        <v>1709</v>
      </c>
      <c r="C60" s="542" t="s">
        <v>4408</v>
      </c>
      <c r="D60" s="641" t="s">
        <v>4409</v>
      </c>
      <c r="E60" s="642" t="s">
        <v>3728</v>
      </c>
      <c r="F60" s="537"/>
      <c r="G60" s="537"/>
      <c r="H60" s="536"/>
      <c r="I60" s="536"/>
      <c r="J60" s="537"/>
      <c r="K60" s="536"/>
      <c r="L60" s="537"/>
      <c r="M60" s="537"/>
      <c r="N60" s="537"/>
      <c r="O60" s="537"/>
      <c r="P60" s="536"/>
      <c r="Q60" s="537"/>
      <c r="R60" s="537"/>
      <c r="S60" s="537"/>
      <c r="T60" s="537"/>
      <c r="U60" s="537"/>
      <c r="V60" s="536"/>
      <c r="W60" s="536"/>
      <c r="X60" s="536"/>
      <c r="Y60" s="536"/>
      <c r="Z60" s="536"/>
      <c r="AA60" s="536"/>
      <c r="AB60" s="536"/>
      <c r="AC60" s="536"/>
      <c r="AD60" s="536"/>
      <c r="AE60" s="536"/>
      <c r="AF60" s="536"/>
      <c r="AG60" s="536"/>
    </row>
    <row r="61">
      <c r="B61" s="640" t="s">
        <v>1704</v>
      </c>
      <c r="C61" s="542" t="s">
        <v>4408</v>
      </c>
      <c r="D61" s="641" t="s">
        <v>4410</v>
      </c>
      <c r="E61" s="642" t="s">
        <v>3728</v>
      </c>
      <c r="F61" s="537"/>
      <c r="G61" s="537"/>
      <c r="H61" s="536"/>
      <c r="I61" s="536"/>
      <c r="J61" s="537"/>
      <c r="K61" s="536"/>
      <c r="L61" s="537"/>
      <c r="M61" s="537"/>
      <c r="N61" s="537"/>
      <c r="O61" s="537"/>
      <c r="P61" s="536"/>
      <c r="Q61" s="537"/>
      <c r="R61" s="537"/>
      <c r="S61" s="537"/>
      <c r="T61" s="537"/>
      <c r="U61" s="537"/>
      <c r="V61" s="536"/>
      <c r="W61" s="536"/>
      <c r="X61" s="536"/>
      <c r="Y61" s="536"/>
      <c r="Z61" s="536"/>
      <c r="AA61" s="536"/>
      <c r="AB61" s="536"/>
      <c r="AC61" s="536"/>
      <c r="AD61" s="536"/>
      <c r="AE61" s="536"/>
      <c r="AF61" s="536"/>
      <c r="AG61" s="536"/>
    </row>
    <row r="62">
      <c r="B62" s="640" t="s">
        <v>1703</v>
      </c>
      <c r="C62" s="537"/>
      <c r="D62" s="641" t="s">
        <v>4411</v>
      </c>
      <c r="E62" s="642" t="s">
        <v>4317</v>
      </c>
      <c r="F62" s="537"/>
      <c r="G62" s="537"/>
      <c r="H62" s="536"/>
      <c r="I62" s="536"/>
      <c r="J62" s="537"/>
      <c r="K62" s="536"/>
      <c r="L62" s="537"/>
      <c r="M62" s="537"/>
      <c r="N62" s="537"/>
      <c r="O62" s="537"/>
      <c r="P62" s="536"/>
      <c r="Q62" s="537"/>
      <c r="R62" s="537"/>
      <c r="S62" s="537"/>
      <c r="T62" s="537"/>
      <c r="U62" s="537"/>
      <c r="V62" s="536"/>
      <c r="W62" s="536"/>
      <c r="X62" s="536"/>
      <c r="Y62" s="536"/>
      <c r="Z62" s="536"/>
      <c r="AA62" s="536"/>
      <c r="AB62" s="536"/>
      <c r="AC62" s="536"/>
      <c r="AD62" s="536"/>
      <c r="AE62" s="536"/>
      <c r="AF62" s="536"/>
      <c r="AG62" s="536"/>
    </row>
    <row r="63">
      <c r="B63" s="640" t="s">
        <v>1698</v>
      </c>
      <c r="C63" s="542" t="s">
        <v>4412</v>
      </c>
      <c r="D63" s="641" t="s">
        <v>4413</v>
      </c>
      <c r="E63" s="642" t="s">
        <v>3728</v>
      </c>
      <c r="F63" s="537"/>
      <c r="G63" s="537"/>
      <c r="H63" s="536"/>
      <c r="I63" s="536"/>
      <c r="J63" s="537"/>
      <c r="K63" s="536"/>
      <c r="L63" s="537"/>
      <c r="M63" s="537"/>
      <c r="N63" s="537"/>
      <c r="O63" s="537"/>
      <c r="P63" s="536"/>
      <c r="Q63" s="537"/>
      <c r="R63" s="537"/>
      <c r="S63" s="537"/>
      <c r="T63" s="537"/>
      <c r="U63" s="537"/>
      <c r="V63" s="536"/>
      <c r="W63" s="536"/>
      <c r="X63" s="536"/>
      <c r="Y63" s="536"/>
      <c r="Z63" s="536"/>
      <c r="AA63" s="536"/>
      <c r="AB63" s="536"/>
      <c r="AC63" s="536"/>
      <c r="AD63" s="536"/>
      <c r="AE63" s="536"/>
      <c r="AF63" s="536"/>
      <c r="AG63" s="536"/>
    </row>
    <row r="64">
      <c r="B64" s="640" t="s">
        <v>1693</v>
      </c>
      <c r="C64" s="542" t="s">
        <v>4414</v>
      </c>
      <c r="D64" s="641" t="s">
        <v>4415</v>
      </c>
      <c r="E64" s="642" t="s">
        <v>4348</v>
      </c>
      <c r="F64" s="537"/>
      <c r="G64" s="537"/>
      <c r="H64" s="536"/>
      <c r="I64" s="536"/>
      <c r="J64" s="537"/>
      <c r="K64" s="536"/>
      <c r="L64" s="537"/>
      <c r="M64" s="537"/>
      <c r="N64" s="537"/>
      <c r="O64" s="537"/>
      <c r="P64" s="536"/>
      <c r="Q64" s="537"/>
      <c r="R64" s="537"/>
      <c r="S64" s="537"/>
      <c r="T64" s="537"/>
      <c r="U64" s="537"/>
      <c r="V64" s="536"/>
      <c r="W64" s="536"/>
      <c r="X64" s="536"/>
      <c r="Y64" s="536"/>
      <c r="Z64" s="536"/>
      <c r="AA64" s="536"/>
      <c r="AB64" s="536"/>
      <c r="AC64" s="536"/>
      <c r="AD64" s="536"/>
      <c r="AE64" s="536"/>
      <c r="AF64" s="536"/>
      <c r="AG64" s="536"/>
    </row>
    <row r="65">
      <c r="B65" s="640" t="s">
        <v>1688</v>
      </c>
      <c r="C65" s="542" t="s">
        <v>4416</v>
      </c>
      <c r="D65" s="641" t="s">
        <v>4417</v>
      </c>
      <c r="E65" s="642" t="s">
        <v>3728</v>
      </c>
      <c r="F65" s="537"/>
      <c r="G65" s="537"/>
      <c r="H65" s="536"/>
      <c r="I65" s="536"/>
      <c r="J65" s="537"/>
      <c r="K65" s="536"/>
      <c r="L65" s="537"/>
      <c r="M65" s="537"/>
      <c r="N65" s="537"/>
      <c r="O65" s="537"/>
      <c r="P65" s="536"/>
      <c r="Q65" s="537"/>
      <c r="R65" s="537"/>
      <c r="S65" s="537"/>
      <c r="T65" s="537"/>
      <c r="U65" s="537"/>
      <c r="V65" s="536"/>
      <c r="W65" s="536"/>
      <c r="X65" s="536"/>
      <c r="Y65" s="536"/>
      <c r="Z65" s="536"/>
      <c r="AA65" s="536"/>
      <c r="AB65" s="536"/>
      <c r="AC65" s="536"/>
      <c r="AD65" s="536"/>
      <c r="AE65" s="536"/>
      <c r="AF65" s="536"/>
      <c r="AG65" s="536"/>
    </row>
    <row r="66">
      <c r="B66" s="640" t="s">
        <v>1683</v>
      </c>
      <c r="C66" s="542" t="s">
        <v>4418</v>
      </c>
      <c r="D66" s="641" t="s">
        <v>4419</v>
      </c>
      <c r="E66" s="647"/>
      <c r="F66" s="537"/>
      <c r="G66" s="537"/>
      <c r="H66" s="536"/>
      <c r="I66" s="536"/>
      <c r="J66" s="537"/>
      <c r="K66" s="536"/>
      <c r="L66" s="537"/>
      <c r="M66" s="537"/>
      <c r="N66" s="537"/>
      <c r="O66" s="537"/>
      <c r="P66" s="536"/>
      <c r="Q66" s="537"/>
      <c r="R66" s="537"/>
      <c r="S66" s="537"/>
      <c r="T66" s="537"/>
      <c r="U66" s="537"/>
      <c r="V66" s="536"/>
      <c r="W66" s="536"/>
      <c r="X66" s="536"/>
      <c r="Y66" s="536"/>
      <c r="Z66" s="536"/>
      <c r="AA66" s="536"/>
      <c r="AB66" s="536"/>
      <c r="AC66" s="536"/>
      <c r="AD66" s="536"/>
      <c r="AE66" s="536"/>
      <c r="AF66" s="536"/>
      <c r="AG66" s="536"/>
    </row>
    <row r="67">
      <c r="B67" s="640" t="s">
        <v>1678</v>
      </c>
      <c r="C67" s="542" t="s">
        <v>4420</v>
      </c>
      <c r="D67" s="641" t="s">
        <v>4421</v>
      </c>
      <c r="E67" s="647"/>
      <c r="F67" s="537"/>
      <c r="G67" s="537"/>
      <c r="H67" s="536"/>
      <c r="I67" s="536"/>
      <c r="J67" s="537"/>
      <c r="K67" s="536"/>
      <c r="L67" s="537"/>
      <c r="M67" s="537"/>
      <c r="N67" s="537"/>
      <c r="O67" s="537"/>
      <c r="P67" s="536"/>
      <c r="Q67" s="537"/>
      <c r="R67" s="537"/>
      <c r="S67" s="537"/>
      <c r="T67" s="537"/>
      <c r="U67" s="537"/>
      <c r="V67" s="536"/>
      <c r="W67" s="536"/>
      <c r="X67" s="536"/>
      <c r="Y67" s="536"/>
      <c r="Z67" s="536"/>
      <c r="AA67" s="536"/>
      <c r="AB67" s="536"/>
      <c r="AC67" s="536"/>
      <c r="AD67" s="536"/>
      <c r="AE67" s="536"/>
      <c r="AF67" s="536"/>
      <c r="AG67" s="536"/>
    </row>
    <row r="68">
      <c r="B68" s="640" t="s">
        <v>1673</v>
      </c>
      <c r="C68" s="542" t="s">
        <v>4422</v>
      </c>
      <c r="D68" s="641" t="s">
        <v>4321</v>
      </c>
      <c r="E68" s="647"/>
      <c r="F68" s="537"/>
      <c r="G68" s="537"/>
      <c r="H68" s="536"/>
      <c r="I68" s="536"/>
      <c r="J68" s="537"/>
      <c r="K68" s="536"/>
      <c r="L68" s="537"/>
      <c r="M68" s="537"/>
      <c r="N68" s="537"/>
      <c r="O68" s="537"/>
      <c r="P68" s="536"/>
      <c r="Q68" s="537"/>
      <c r="R68" s="537"/>
      <c r="S68" s="537"/>
      <c r="T68" s="537"/>
      <c r="U68" s="537"/>
      <c r="V68" s="536"/>
      <c r="W68" s="536"/>
      <c r="X68" s="536"/>
      <c r="Y68" s="536"/>
      <c r="Z68" s="536"/>
      <c r="AA68" s="536"/>
      <c r="AB68" s="536"/>
      <c r="AC68" s="536"/>
      <c r="AD68" s="536"/>
      <c r="AE68" s="536"/>
      <c r="AF68" s="536"/>
      <c r="AG68" s="536"/>
    </row>
    <row r="69">
      <c r="B69" s="640" t="s">
        <v>1668</v>
      </c>
      <c r="C69" s="542" t="s">
        <v>4423</v>
      </c>
      <c r="D69" s="641" t="s">
        <v>4424</v>
      </c>
      <c r="E69" s="647"/>
      <c r="F69" s="537"/>
      <c r="G69" s="537"/>
      <c r="H69" s="536"/>
      <c r="I69" s="536"/>
      <c r="J69" s="537"/>
      <c r="K69" s="536"/>
      <c r="L69" s="537"/>
      <c r="M69" s="537"/>
      <c r="N69" s="537"/>
      <c r="O69" s="537"/>
      <c r="P69" s="536"/>
      <c r="Q69" s="537"/>
      <c r="R69" s="537"/>
      <c r="S69" s="537"/>
      <c r="T69" s="537"/>
      <c r="U69" s="537"/>
      <c r="V69" s="536"/>
      <c r="W69" s="536"/>
      <c r="X69" s="536"/>
      <c r="Y69" s="536"/>
      <c r="Z69" s="536"/>
      <c r="AA69" s="536"/>
      <c r="AB69" s="536"/>
      <c r="AC69" s="536"/>
      <c r="AD69" s="536"/>
      <c r="AE69" s="536"/>
      <c r="AF69" s="536"/>
      <c r="AG69" s="536"/>
    </row>
    <row r="70">
      <c r="B70" s="640" t="s">
        <v>1663</v>
      </c>
      <c r="C70" s="542" t="s">
        <v>4425</v>
      </c>
      <c r="D70" s="641" t="s">
        <v>4323</v>
      </c>
      <c r="E70" s="647"/>
      <c r="F70" s="537"/>
      <c r="G70" s="537"/>
      <c r="H70" s="536"/>
      <c r="I70" s="536"/>
      <c r="J70" s="537"/>
      <c r="K70" s="536"/>
      <c r="L70" s="537"/>
      <c r="M70" s="537"/>
      <c r="N70" s="537"/>
      <c r="O70" s="537"/>
      <c r="P70" s="536"/>
      <c r="Q70" s="537"/>
      <c r="R70" s="537"/>
      <c r="S70" s="537"/>
      <c r="T70" s="537"/>
      <c r="U70" s="537"/>
      <c r="V70" s="536"/>
      <c r="W70" s="536"/>
      <c r="X70" s="536"/>
      <c r="Y70" s="536"/>
      <c r="Z70" s="536"/>
      <c r="AA70" s="536"/>
      <c r="AB70" s="536"/>
      <c r="AC70" s="536"/>
      <c r="AD70" s="536"/>
      <c r="AE70" s="536"/>
      <c r="AF70" s="536"/>
      <c r="AG70" s="536"/>
    </row>
    <row r="71">
      <c r="B71" s="640" t="s">
        <v>1658</v>
      </c>
      <c r="C71" s="542" t="s">
        <v>4426</v>
      </c>
      <c r="D71" s="641" t="s">
        <v>4427</v>
      </c>
      <c r="E71" s="647"/>
      <c r="F71" s="537"/>
      <c r="G71" s="537"/>
      <c r="H71" s="536"/>
      <c r="I71" s="536"/>
      <c r="J71" s="537"/>
      <c r="K71" s="536"/>
      <c r="L71" s="537"/>
      <c r="M71" s="537"/>
      <c r="N71" s="537"/>
      <c r="O71" s="537"/>
      <c r="P71" s="536"/>
      <c r="Q71" s="537"/>
      <c r="R71" s="537"/>
      <c r="S71" s="537"/>
      <c r="T71" s="537"/>
      <c r="U71" s="537"/>
      <c r="V71" s="536"/>
      <c r="W71" s="536"/>
      <c r="X71" s="536"/>
      <c r="Y71" s="536"/>
      <c r="Z71" s="536"/>
      <c r="AA71" s="536"/>
      <c r="AB71" s="536"/>
      <c r="AC71" s="536"/>
      <c r="AD71" s="536"/>
      <c r="AE71" s="536"/>
      <c r="AF71" s="536"/>
      <c r="AG71" s="536"/>
    </row>
    <row r="72">
      <c r="B72" s="640" t="s">
        <v>1653</v>
      </c>
      <c r="C72" s="542" t="s">
        <v>4428</v>
      </c>
      <c r="D72" s="641" t="s">
        <v>4429</v>
      </c>
      <c r="E72" s="647"/>
      <c r="F72" s="537"/>
      <c r="G72" s="537"/>
      <c r="H72" s="536"/>
      <c r="I72" s="536"/>
      <c r="J72" s="537"/>
      <c r="K72" s="536"/>
      <c r="L72" s="537"/>
      <c r="M72" s="537"/>
      <c r="N72" s="537"/>
      <c r="O72" s="537"/>
      <c r="P72" s="536"/>
      <c r="Q72" s="537"/>
      <c r="R72" s="537"/>
      <c r="S72" s="537"/>
      <c r="T72" s="537"/>
      <c r="U72" s="537"/>
      <c r="V72" s="536"/>
      <c r="W72" s="536"/>
      <c r="X72" s="536"/>
      <c r="Y72" s="536"/>
      <c r="Z72" s="536"/>
      <c r="AA72" s="536"/>
      <c r="AB72" s="536"/>
      <c r="AC72" s="536"/>
      <c r="AD72" s="536"/>
      <c r="AE72" s="536"/>
      <c r="AF72" s="536"/>
      <c r="AG72" s="536"/>
    </row>
    <row r="73">
      <c r="B73" s="640" t="s">
        <v>1648</v>
      </c>
      <c r="C73" s="542" t="s">
        <v>4430</v>
      </c>
      <c r="D73" s="641" t="s">
        <v>883</v>
      </c>
      <c r="E73" s="647"/>
      <c r="F73" s="537"/>
      <c r="G73" s="537"/>
      <c r="H73" s="536"/>
      <c r="I73" s="536"/>
      <c r="J73" s="537"/>
      <c r="K73" s="536"/>
      <c r="L73" s="537"/>
      <c r="M73" s="537"/>
      <c r="N73" s="537"/>
      <c r="O73" s="537"/>
      <c r="P73" s="536"/>
      <c r="Q73" s="537"/>
      <c r="R73" s="537"/>
      <c r="S73" s="537"/>
      <c r="T73" s="537"/>
      <c r="U73" s="537"/>
      <c r="V73" s="536"/>
      <c r="W73" s="536"/>
      <c r="X73" s="536"/>
      <c r="Y73" s="536"/>
      <c r="Z73" s="536"/>
      <c r="AA73" s="536"/>
      <c r="AB73" s="536"/>
      <c r="AC73" s="536"/>
      <c r="AD73" s="536"/>
      <c r="AE73" s="536"/>
      <c r="AF73" s="536"/>
      <c r="AG73" s="536"/>
    </row>
    <row r="74">
      <c r="B74" s="640" t="s">
        <v>1643</v>
      </c>
      <c r="C74" s="542" t="s">
        <v>4431</v>
      </c>
      <c r="D74" s="641" t="s">
        <v>4326</v>
      </c>
      <c r="E74" s="647"/>
      <c r="F74" s="537"/>
      <c r="G74" s="537"/>
      <c r="H74" s="536"/>
      <c r="I74" s="536"/>
      <c r="J74" s="537"/>
      <c r="K74" s="536"/>
      <c r="L74" s="537"/>
      <c r="M74" s="537"/>
      <c r="N74" s="537"/>
      <c r="O74" s="537"/>
      <c r="P74" s="536"/>
      <c r="Q74" s="537"/>
      <c r="R74" s="537"/>
      <c r="S74" s="537"/>
      <c r="T74" s="537"/>
      <c r="U74" s="537"/>
      <c r="V74" s="536"/>
      <c r="W74" s="536"/>
      <c r="X74" s="536"/>
      <c r="Y74" s="536"/>
      <c r="Z74" s="536"/>
      <c r="AA74" s="536"/>
      <c r="AB74" s="536"/>
      <c r="AC74" s="536"/>
      <c r="AD74" s="536"/>
      <c r="AE74" s="536"/>
      <c r="AF74" s="536"/>
      <c r="AG74" s="536"/>
    </row>
    <row r="75">
      <c r="B75" s="640" t="s">
        <v>1638</v>
      </c>
      <c r="C75" s="542" t="s">
        <v>4432</v>
      </c>
      <c r="D75" s="641" t="s">
        <v>4433</v>
      </c>
      <c r="E75" s="642" t="s">
        <v>3728</v>
      </c>
      <c r="F75" s="537"/>
      <c r="G75" s="537"/>
      <c r="H75" s="536"/>
      <c r="I75" s="536"/>
      <c r="J75" s="537"/>
      <c r="K75" s="536"/>
      <c r="L75" s="537"/>
      <c r="M75" s="537"/>
      <c r="N75" s="537"/>
      <c r="O75" s="537"/>
      <c r="P75" s="536"/>
      <c r="Q75" s="537"/>
      <c r="R75" s="537"/>
      <c r="S75" s="537"/>
      <c r="T75" s="537"/>
      <c r="U75" s="537"/>
      <c r="V75" s="536"/>
      <c r="W75" s="536"/>
      <c r="X75" s="536"/>
      <c r="Y75" s="536"/>
      <c r="Z75" s="536"/>
      <c r="AA75" s="536"/>
      <c r="AB75" s="536"/>
      <c r="AC75" s="536"/>
      <c r="AD75" s="536"/>
      <c r="AE75" s="536"/>
      <c r="AF75" s="536"/>
      <c r="AG75" s="536"/>
    </row>
    <row r="76">
      <c r="A76" s="643" t="s">
        <v>1517</v>
      </c>
      <c r="B76" s="644" t="s">
        <v>1630</v>
      </c>
      <c r="C76" s="528" t="s">
        <v>398</v>
      </c>
      <c r="D76" s="645" t="s">
        <v>1631</v>
      </c>
      <c r="E76" s="646"/>
      <c r="F76" s="528"/>
      <c r="G76" s="528"/>
      <c r="H76" s="527"/>
      <c r="I76" s="527"/>
      <c r="J76" s="528"/>
      <c r="K76" s="527"/>
      <c r="L76" s="528"/>
      <c r="M76" s="528"/>
      <c r="N76" s="528"/>
      <c r="O76" s="528"/>
      <c r="P76" s="527"/>
      <c r="Q76" s="528"/>
      <c r="R76" s="528"/>
      <c r="S76" s="528"/>
      <c r="T76" s="528"/>
      <c r="U76" s="528"/>
      <c r="V76" s="527"/>
      <c r="W76" s="527"/>
      <c r="X76" s="527"/>
      <c r="Y76" s="527"/>
      <c r="Z76" s="527"/>
      <c r="AA76" s="527"/>
      <c r="AB76" s="527"/>
      <c r="AC76" s="527"/>
      <c r="AD76" s="527"/>
      <c r="AE76" s="527"/>
      <c r="AF76" s="527"/>
      <c r="AG76" s="527"/>
    </row>
    <row r="77">
      <c r="B77" s="644" t="s">
        <v>1625</v>
      </c>
      <c r="C77" s="533" t="s">
        <v>4434</v>
      </c>
      <c r="D77" s="645" t="s">
        <v>4435</v>
      </c>
      <c r="E77" s="646"/>
      <c r="F77" s="528"/>
      <c r="G77" s="528"/>
      <c r="H77" s="527"/>
      <c r="I77" s="527"/>
      <c r="J77" s="528"/>
      <c r="K77" s="527"/>
      <c r="L77" s="528"/>
      <c r="M77" s="528"/>
      <c r="N77" s="528"/>
      <c r="O77" s="528"/>
      <c r="P77" s="527"/>
      <c r="Q77" s="528"/>
      <c r="R77" s="528"/>
      <c r="S77" s="528"/>
      <c r="T77" s="528"/>
      <c r="U77" s="528"/>
      <c r="V77" s="527"/>
      <c r="W77" s="527"/>
      <c r="X77" s="527"/>
      <c r="Y77" s="527"/>
      <c r="Z77" s="527"/>
      <c r="AA77" s="527"/>
      <c r="AB77" s="527"/>
      <c r="AC77" s="527"/>
      <c r="AD77" s="527"/>
      <c r="AE77" s="527"/>
      <c r="AF77" s="527"/>
      <c r="AG77" s="527"/>
    </row>
    <row r="78">
      <c r="B78" s="644" t="s">
        <v>1620</v>
      </c>
      <c r="C78" s="533" t="s">
        <v>4436</v>
      </c>
      <c r="D78" s="645" t="s">
        <v>4437</v>
      </c>
      <c r="E78" s="646"/>
      <c r="F78" s="528"/>
      <c r="G78" s="528"/>
      <c r="H78" s="527"/>
      <c r="I78" s="527"/>
      <c r="J78" s="528"/>
      <c r="K78" s="527"/>
      <c r="L78" s="528"/>
      <c r="M78" s="528"/>
      <c r="N78" s="528"/>
      <c r="O78" s="528"/>
      <c r="P78" s="527"/>
      <c r="Q78" s="528"/>
      <c r="R78" s="528"/>
      <c r="S78" s="528"/>
      <c r="T78" s="528"/>
      <c r="U78" s="528"/>
      <c r="V78" s="527"/>
      <c r="W78" s="527"/>
      <c r="X78" s="527"/>
      <c r="Y78" s="527"/>
      <c r="Z78" s="527"/>
      <c r="AA78" s="527"/>
      <c r="AB78" s="527"/>
      <c r="AC78" s="527"/>
      <c r="AD78" s="527"/>
      <c r="AE78" s="527"/>
      <c r="AF78" s="527"/>
      <c r="AG78" s="527"/>
    </row>
    <row r="79">
      <c r="B79" s="644" t="s">
        <v>1615</v>
      </c>
      <c r="C79" s="528" t="s">
        <v>398</v>
      </c>
      <c r="D79" s="645" t="s">
        <v>3771</v>
      </c>
      <c r="E79" s="646"/>
      <c r="F79" s="528"/>
      <c r="G79" s="528"/>
      <c r="H79" s="527"/>
      <c r="I79" s="527"/>
      <c r="J79" s="528"/>
      <c r="K79" s="527"/>
      <c r="L79" s="528"/>
      <c r="M79" s="528"/>
      <c r="N79" s="528"/>
      <c r="O79" s="528"/>
      <c r="P79" s="527"/>
      <c r="Q79" s="528"/>
      <c r="R79" s="528"/>
      <c r="S79" s="528"/>
      <c r="T79" s="528"/>
      <c r="U79" s="528"/>
      <c r="V79" s="527"/>
      <c r="W79" s="527"/>
      <c r="X79" s="527"/>
      <c r="Y79" s="527"/>
      <c r="Z79" s="527"/>
      <c r="AA79" s="527"/>
      <c r="AB79" s="527"/>
      <c r="AC79" s="527"/>
      <c r="AD79" s="527"/>
      <c r="AE79" s="527"/>
      <c r="AF79" s="527"/>
      <c r="AG79" s="527"/>
    </row>
    <row r="80">
      <c r="B80" s="644" t="s">
        <v>4438</v>
      </c>
      <c r="C80" s="533" t="s">
        <v>4439</v>
      </c>
      <c r="D80" s="645" t="s">
        <v>4440</v>
      </c>
      <c r="E80" s="646"/>
      <c r="F80" s="528"/>
      <c r="G80" s="528"/>
      <c r="H80" s="527"/>
      <c r="I80" s="527"/>
      <c r="J80" s="528"/>
      <c r="K80" s="527"/>
      <c r="L80" s="528"/>
      <c r="M80" s="528"/>
      <c r="N80" s="528"/>
      <c r="O80" s="528"/>
      <c r="P80" s="527"/>
      <c r="Q80" s="528"/>
      <c r="R80" s="528"/>
      <c r="S80" s="528"/>
      <c r="T80" s="528"/>
      <c r="U80" s="528"/>
      <c r="V80" s="527"/>
      <c r="W80" s="527"/>
      <c r="X80" s="527"/>
      <c r="Y80" s="527"/>
      <c r="Z80" s="527"/>
      <c r="AA80" s="527"/>
      <c r="AB80" s="527"/>
      <c r="AC80" s="527"/>
      <c r="AD80" s="527"/>
      <c r="AE80" s="527"/>
      <c r="AF80" s="527"/>
      <c r="AG80" s="527"/>
    </row>
    <row r="81">
      <c r="B81" s="644" t="s">
        <v>4438</v>
      </c>
      <c r="C81" s="533" t="s">
        <v>4441</v>
      </c>
      <c r="D81" s="645" t="s">
        <v>4442</v>
      </c>
      <c r="E81" s="646" t="s">
        <v>4443</v>
      </c>
      <c r="F81" s="528"/>
      <c r="G81" s="528"/>
      <c r="H81" s="527"/>
      <c r="I81" s="527"/>
      <c r="J81" s="528"/>
      <c r="K81" s="527"/>
      <c r="L81" s="528"/>
      <c r="M81" s="528"/>
      <c r="N81" s="528"/>
      <c r="O81" s="528"/>
      <c r="P81" s="527"/>
      <c r="Q81" s="528"/>
      <c r="R81" s="528"/>
      <c r="S81" s="528"/>
      <c r="T81" s="528"/>
      <c r="U81" s="528"/>
      <c r="V81" s="527"/>
      <c r="W81" s="527"/>
      <c r="X81" s="527"/>
      <c r="Y81" s="527"/>
      <c r="Z81" s="527"/>
      <c r="AA81" s="527"/>
      <c r="AB81" s="527"/>
      <c r="AC81" s="527"/>
      <c r="AD81" s="527"/>
      <c r="AE81" s="527"/>
      <c r="AF81" s="527"/>
      <c r="AG81" s="527"/>
    </row>
    <row r="82">
      <c r="B82" s="644" t="s">
        <v>1602</v>
      </c>
      <c r="C82" s="533" t="s">
        <v>4444</v>
      </c>
      <c r="D82" s="645" t="s">
        <v>595</v>
      </c>
      <c r="E82" s="646"/>
      <c r="F82" s="528"/>
      <c r="G82" s="528"/>
      <c r="H82" s="527"/>
      <c r="I82" s="527"/>
      <c r="J82" s="528"/>
      <c r="K82" s="527"/>
      <c r="L82" s="528"/>
      <c r="M82" s="528"/>
      <c r="N82" s="528"/>
      <c r="O82" s="528"/>
      <c r="P82" s="527"/>
      <c r="Q82" s="528"/>
      <c r="R82" s="528"/>
      <c r="S82" s="528"/>
      <c r="T82" s="528"/>
      <c r="U82" s="528"/>
      <c r="V82" s="527"/>
      <c r="W82" s="527"/>
      <c r="X82" s="527"/>
      <c r="Y82" s="527"/>
      <c r="Z82" s="527"/>
      <c r="AA82" s="527"/>
      <c r="AB82" s="527"/>
      <c r="AC82" s="527"/>
      <c r="AD82" s="527"/>
      <c r="AE82" s="527"/>
      <c r="AF82" s="527"/>
      <c r="AG82" s="527"/>
    </row>
    <row r="83">
      <c r="B83" s="644" t="s">
        <v>1597</v>
      </c>
      <c r="C83" s="528"/>
      <c r="D83" s="645" t="s">
        <v>4445</v>
      </c>
      <c r="E83" s="646"/>
      <c r="F83" s="528"/>
      <c r="G83" s="528"/>
      <c r="H83" s="527"/>
      <c r="I83" s="527"/>
      <c r="J83" s="528"/>
      <c r="K83" s="527"/>
      <c r="L83" s="528"/>
      <c r="M83" s="528"/>
      <c r="N83" s="528"/>
      <c r="O83" s="528"/>
      <c r="P83" s="527"/>
      <c r="Q83" s="528"/>
      <c r="R83" s="528"/>
      <c r="S83" s="528"/>
      <c r="T83" s="528"/>
      <c r="U83" s="528"/>
      <c r="V83" s="527"/>
      <c r="W83" s="527"/>
      <c r="X83" s="527"/>
      <c r="Y83" s="527"/>
      <c r="Z83" s="527"/>
      <c r="AA83" s="527"/>
      <c r="AB83" s="527"/>
      <c r="AC83" s="527"/>
      <c r="AD83" s="527"/>
      <c r="AE83" s="527"/>
      <c r="AF83" s="527"/>
      <c r="AG83" s="527"/>
    </row>
    <row r="84">
      <c r="B84" s="644" t="s">
        <v>1592</v>
      </c>
      <c r="C84" s="533" t="s">
        <v>4446</v>
      </c>
      <c r="D84" s="645" t="s">
        <v>4447</v>
      </c>
      <c r="E84" s="646" t="s">
        <v>3728</v>
      </c>
      <c r="F84" s="528"/>
      <c r="G84" s="528"/>
      <c r="H84" s="527"/>
      <c r="I84" s="527"/>
      <c r="J84" s="528"/>
      <c r="K84" s="527"/>
      <c r="L84" s="528"/>
      <c r="M84" s="528"/>
      <c r="N84" s="528"/>
      <c r="O84" s="528"/>
      <c r="P84" s="527"/>
      <c r="Q84" s="528"/>
      <c r="R84" s="528"/>
      <c r="S84" s="528"/>
      <c r="T84" s="528"/>
      <c r="U84" s="528"/>
      <c r="V84" s="527"/>
      <c r="W84" s="527"/>
      <c r="X84" s="527"/>
      <c r="Y84" s="527"/>
      <c r="Z84" s="527"/>
      <c r="AA84" s="527"/>
      <c r="AB84" s="527"/>
      <c r="AC84" s="527"/>
      <c r="AD84" s="527"/>
      <c r="AE84" s="527"/>
      <c r="AF84" s="527"/>
      <c r="AG84" s="527"/>
    </row>
    <row r="85">
      <c r="B85" s="644" t="s">
        <v>4448</v>
      </c>
      <c r="C85" s="533" t="s">
        <v>4449</v>
      </c>
      <c r="D85" s="645" t="s">
        <v>4450</v>
      </c>
      <c r="E85" s="646" t="s">
        <v>3728</v>
      </c>
      <c r="F85" s="528"/>
      <c r="G85" s="528"/>
      <c r="H85" s="527"/>
      <c r="I85" s="527"/>
      <c r="J85" s="528"/>
      <c r="K85" s="527"/>
      <c r="L85" s="528"/>
      <c r="M85" s="528"/>
      <c r="N85" s="528"/>
      <c r="O85" s="528"/>
      <c r="P85" s="527"/>
      <c r="Q85" s="528"/>
      <c r="R85" s="528"/>
      <c r="S85" s="528"/>
      <c r="T85" s="528"/>
      <c r="U85" s="528"/>
      <c r="V85" s="527"/>
      <c r="W85" s="527"/>
      <c r="X85" s="527"/>
      <c r="Y85" s="527"/>
      <c r="Z85" s="527"/>
      <c r="AA85" s="527"/>
      <c r="AB85" s="527"/>
      <c r="AC85" s="527"/>
      <c r="AD85" s="527"/>
      <c r="AE85" s="527"/>
      <c r="AF85" s="527"/>
      <c r="AG85" s="527"/>
    </row>
    <row r="86">
      <c r="B86" s="644" t="s">
        <v>4448</v>
      </c>
      <c r="C86" s="533" t="s">
        <v>4451</v>
      </c>
      <c r="D86" s="645" t="s">
        <v>2565</v>
      </c>
      <c r="E86" s="646"/>
      <c r="F86" s="528"/>
      <c r="G86" s="528"/>
      <c r="H86" s="527"/>
      <c r="I86" s="527"/>
      <c r="J86" s="528"/>
      <c r="K86" s="527"/>
      <c r="L86" s="528"/>
      <c r="M86" s="528"/>
      <c r="N86" s="528"/>
      <c r="O86" s="528"/>
      <c r="P86" s="527"/>
      <c r="Q86" s="528"/>
      <c r="R86" s="528"/>
      <c r="S86" s="528"/>
      <c r="T86" s="528"/>
      <c r="U86" s="528"/>
      <c r="V86" s="527"/>
      <c r="W86" s="527"/>
      <c r="X86" s="527"/>
      <c r="Y86" s="527"/>
      <c r="Z86" s="527"/>
      <c r="AA86" s="527"/>
      <c r="AB86" s="527"/>
      <c r="AC86" s="527"/>
      <c r="AD86" s="527"/>
      <c r="AE86" s="527"/>
      <c r="AF86" s="527"/>
      <c r="AG86" s="527"/>
    </row>
    <row r="87">
      <c r="B87" s="644" t="s">
        <v>1580</v>
      </c>
      <c r="C87" s="533" t="s">
        <v>4452</v>
      </c>
      <c r="D87" s="645" t="s">
        <v>3868</v>
      </c>
      <c r="E87" s="646"/>
      <c r="F87" s="528"/>
      <c r="G87" s="528"/>
      <c r="H87" s="527"/>
      <c r="I87" s="527"/>
      <c r="J87" s="528"/>
      <c r="K87" s="527"/>
      <c r="L87" s="528"/>
      <c r="M87" s="528"/>
      <c r="N87" s="528"/>
      <c r="O87" s="528"/>
      <c r="P87" s="527"/>
      <c r="Q87" s="528"/>
      <c r="R87" s="528"/>
      <c r="S87" s="528"/>
      <c r="T87" s="528"/>
      <c r="U87" s="528"/>
      <c r="V87" s="527"/>
      <c r="W87" s="527"/>
      <c r="X87" s="527"/>
      <c r="Y87" s="527"/>
      <c r="Z87" s="527"/>
      <c r="AA87" s="527"/>
      <c r="AB87" s="527"/>
      <c r="AC87" s="527"/>
      <c r="AD87" s="527"/>
      <c r="AE87" s="527"/>
      <c r="AF87" s="527"/>
      <c r="AG87" s="527"/>
    </row>
    <row r="88">
      <c r="B88" s="644" t="s">
        <v>1575</v>
      </c>
      <c r="C88" s="533" t="s">
        <v>4453</v>
      </c>
      <c r="D88" s="645" t="s">
        <v>173</v>
      </c>
      <c r="E88" s="646"/>
      <c r="F88" s="528"/>
      <c r="G88" s="528"/>
      <c r="H88" s="527"/>
      <c r="I88" s="527"/>
      <c r="J88" s="528"/>
      <c r="K88" s="527"/>
      <c r="L88" s="528"/>
      <c r="M88" s="528"/>
      <c r="N88" s="528"/>
      <c r="O88" s="528"/>
      <c r="P88" s="527"/>
      <c r="Q88" s="528"/>
      <c r="R88" s="528"/>
      <c r="S88" s="528"/>
      <c r="T88" s="528"/>
      <c r="U88" s="528"/>
      <c r="V88" s="527"/>
      <c r="W88" s="527"/>
      <c r="X88" s="527"/>
      <c r="Y88" s="527"/>
      <c r="Z88" s="527"/>
      <c r="AA88" s="527"/>
      <c r="AB88" s="527"/>
      <c r="AC88" s="527"/>
      <c r="AD88" s="527"/>
      <c r="AE88" s="527"/>
      <c r="AF88" s="527"/>
      <c r="AG88" s="527"/>
    </row>
    <row r="89">
      <c r="B89" s="644" t="s">
        <v>1570</v>
      </c>
      <c r="C89" s="533" t="s">
        <v>4454</v>
      </c>
      <c r="D89" s="645" t="s">
        <v>642</v>
      </c>
      <c r="E89" s="646" t="s">
        <v>4348</v>
      </c>
      <c r="F89" s="528"/>
      <c r="G89" s="528"/>
      <c r="H89" s="527"/>
      <c r="I89" s="527"/>
      <c r="J89" s="528"/>
      <c r="K89" s="527"/>
      <c r="L89" s="528"/>
      <c r="M89" s="528"/>
      <c r="N89" s="528"/>
      <c r="O89" s="528"/>
      <c r="P89" s="527"/>
      <c r="Q89" s="528"/>
      <c r="R89" s="528"/>
      <c r="S89" s="528"/>
      <c r="T89" s="528"/>
      <c r="U89" s="528"/>
      <c r="V89" s="527"/>
      <c r="W89" s="527"/>
      <c r="X89" s="527"/>
      <c r="Y89" s="527"/>
      <c r="Z89" s="527"/>
      <c r="AA89" s="527"/>
      <c r="AB89" s="527"/>
      <c r="AC89" s="527"/>
      <c r="AD89" s="527"/>
      <c r="AE89" s="527"/>
      <c r="AF89" s="527"/>
      <c r="AG89" s="527"/>
    </row>
    <row r="90">
      <c r="B90" s="644" t="s">
        <v>4455</v>
      </c>
      <c r="C90" s="533" t="s">
        <v>4456</v>
      </c>
      <c r="D90" s="645" t="s">
        <v>4457</v>
      </c>
      <c r="E90" s="646"/>
      <c r="F90" s="528"/>
      <c r="G90" s="528"/>
      <c r="H90" s="527"/>
      <c r="I90" s="527"/>
      <c r="J90" s="528"/>
      <c r="K90" s="527"/>
      <c r="L90" s="528"/>
      <c r="M90" s="528"/>
      <c r="N90" s="528"/>
      <c r="O90" s="528"/>
      <c r="P90" s="527"/>
      <c r="Q90" s="528"/>
      <c r="R90" s="528"/>
      <c r="S90" s="528"/>
      <c r="T90" s="528"/>
      <c r="U90" s="528">
        <v>1.0</v>
      </c>
      <c r="V90" s="527"/>
      <c r="W90" s="527"/>
      <c r="X90" s="527"/>
      <c r="Y90" s="527"/>
      <c r="Z90" s="527"/>
      <c r="AA90" s="527"/>
      <c r="AB90" s="527"/>
      <c r="AC90" s="527"/>
      <c r="AD90" s="527"/>
      <c r="AE90" s="527"/>
      <c r="AF90" s="527"/>
      <c r="AG90" s="527"/>
    </row>
    <row r="91">
      <c r="B91" s="644" t="s">
        <v>4455</v>
      </c>
      <c r="C91" s="533" t="s">
        <v>4458</v>
      </c>
      <c r="D91" s="645" t="s">
        <v>3877</v>
      </c>
      <c r="E91" s="646"/>
      <c r="F91" s="528"/>
      <c r="G91" s="528"/>
      <c r="H91" s="527"/>
      <c r="I91" s="527"/>
      <c r="J91" s="528"/>
      <c r="K91" s="527"/>
      <c r="L91" s="528"/>
      <c r="M91" s="528"/>
      <c r="N91" s="528"/>
      <c r="O91" s="528"/>
      <c r="P91" s="527"/>
      <c r="Q91" s="528"/>
      <c r="R91" s="528"/>
      <c r="S91" s="528"/>
      <c r="T91" s="528"/>
      <c r="U91" s="528">
        <v>1.0</v>
      </c>
      <c r="V91" s="527"/>
      <c r="W91" s="527"/>
      <c r="X91" s="527"/>
      <c r="Y91" s="527"/>
      <c r="Z91" s="527"/>
      <c r="AA91" s="527"/>
      <c r="AB91" s="527"/>
      <c r="AC91" s="527"/>
      <c r="AD91" s="527"/>
      <c r="AE91" s="527"/>
      <c r="AF91" s="527"/>
      <c r="AG91" s="527"/>
    </row>
    <row r="92">
      <c r="B92" s="644" t="s">
        <v>4459</v>
      </c>
      <c r="C92" s="533" t="s">
        <v>4460</v>
      </c>
      <c r="D92" s="645" t="s">
        <v>4461</v>
      </c>
      <c r="E92" s="646" t="s">
        <v>3728</v>
      </c>
      <c r="F92" s="528"/>
      <c r="G92" s="528"/>
      <c r="H92" s="527"/>
      <c r="I92" s="527"/>
      <c r="J92" s="528"/>
      <c r="K92" s="527"/>
      <c r="L92" s="528"/>
      <c r="M92" s="528"/>
      <c r="N92" s="528"/>
      <c r="O92" s="528"/>
      <c r="P92" s="527"/>
      <c r="Q92" s="528"/>
      <c r="R92" s="528"/>
      <c r="S92" s="528"/>
      <c r="T92" s="528"/>
      <c r="U92" s="528"/>
      <c r="V92" s="527"/>
      <c r="W92" s="527"/>
      <c r="X92" s="527"/>
      <c r="Y92" s="527"/>
      <c r="Z92" s="527"/>
      <c r="AA92" s="527"/>
      <c r="AB92" s="527"/>
      <c r="AC92" s="527"/>
      <c r="AD92" s="527"/>
      <c r="AE92" s="527"/>
      <c r="AF92" s="527"/>
      <c r="AG92" s="527"/>
    </row>
    <row r="93">
      <c r="B93" s="644" t="s">
        <v>4459</v>
      </c>
      <c r="C93" s="533" t="s">
        <v>4462</v>
      </c>
      <c r="D93" s="645" t="s">
        <v>3769</v>
      </c>
      <c r="E93" s="646"/>
      <c r="F93" s="528"/>
      <c r="G93" s="528"/>
      <c r="H93" s="527"/>
      <c r="I93" s="527"/>
      <c r="J93" s="528"/>
      <c r="K93" s="527"/>
      <c r="L93" s="528"/>
      <c r="M93" s="528"/>
      <c r="N93" s="528"/>
      <c r="O93" s="528"/>
      <c r="P93" s="527"/>
      <c r="Q93" s="528"/>
      <c r="R93" s="528"/>
      <c r="S93" s="528"/>
      <c r="T93" s="528"/>
      <c r="U93" s="528"/>
      <c r="V93" s="527"/>
      <c r="W93" s="527"/>
      <c r="X93" s="527"/>
      <c r="Y93" s="527"/>
      <c r="Z93" s="527"/>
      <c r="AA93" s="527"/>
      <c r="AB93" s="527"/>
      <c r="AC93" s="527"/>
      <c r="AD93" s="527"/>
      <c r="AE93" s="527"/>
      <c r="AF93" s="527"/>
      <c r="AG93" s="527"/>
    </row>
    <row r="94">
      <c r="B94" s="644" t="s">
        <v>1552</v>
      </c>
      <c r="C94" s="533" t="s">
        <v>4463</v>
      </c>
      <c r="D94" s="645" t="s">
        <v>4464</v>
      </c>
      <c r="E94" s="646" t="s">
        <v>3728</v>
      </c>
      <c r="F94" s="528"/>
      <c r="G94" s="528"/>
      <c r="H94" s="527"/>
      <c r="I94" s="527"/>
      <c r="J94" s="528"/>
      <c r="K94" s="527"/>
      <c r="L94" s="528"/>
      <c r="M94" s="528"/>
      <c r="N94" s="528"/>
      <c r="O94" s="528"/>
      <c r="P94" s="527"/>
      <c r="Q94" s="528"/>
      <c r="R94" s="528"/>
      <c r="S94" s="528"/>
      <c r="T94" s="528"/>
      <c r="U94" s="528"/>
      <c r="V94" s="527"/>
      <c r="W94" s="527"/>
      <c r="X94" s="527"/>
      <c r="Y94" s="527"/>
      <c r="Z94" s="527"/>
      <c r="AA94" s="527"/>
      <c r="AB94" s="527"/>
      <c r="AC94" s="527"/>
      <c r="AD94" s="527"/>
      <c r="AE94" s="527"/>
      <c r="AF94" s="527"/>
      <c r="AG94" s="527"/>
    </row>
    <row r="95">
      <c r="B95" s="644" t="s">
        <v>4465</v>
      </c>
      <c r="C95" s="533" t="s">
        <v>4466</v>
      </c>
      <c r="D95" s="645" t="s">
        <v>4467</v>
      </c>
      <c r="E95" s="646" t="s">
        <v>4348</v>
      </c>
      <c r="F95" s="528"/>
      <c r="G95" s="528"/>
      <c r="H95" s="527"/>
      <c r="I95" s="527"/>
      <c r="J95" s="528"/>
      <c r="K95" s="527"/>
      <c r="L95" s="528"/>
      <c r="M95" s="528"/>
      <c r="N95" s="528"/>
      <c r="O95" s="528"/>
      <c r="P95" s="527"/>
      <c r="Q95" s="528"/>
      <c r="R95" s="528"/>
      <c r="S95" s="528"/>
      <c r="T95" s="528"/>
      <c r="U95" s="528"/>
      <c r="V95" s="527"/>
      <c r="W95" s="527"/>
      <c r="X95" s="527"/>
      <c r="Y95" s="527"/>
      <c r="Z95" s="527"/>
      <c r="AA95" s="527"/>
      <c r="AB95" s="527"/>
      <c r="AC95" s="527"/>
      <c r="AD95" s="527"/>
      <c r="AE95" s="527"/>
      <c r="AF95" s="527"/>
      <c r="AG95" s="527"/>
    </row>
    <row r="96">
      <c r="B96" s="644" t="s">
        <v>4465</v>
      </c>
      <c r="C96" s="533" t="s">
        <v>4466</v>
      </c>
      <c r="D96" s="645" t="s">
        <v>4468</v>
      </c>
      <c r="E96" s="646" t="s">
        <v>4348</v>
      </c>
      <c r="F96" s="528"/>
      <c r="G96" s="528"/>
      <c r="H96" s="527"/>
      <c r="I96" s="527"/>
      <c r="J96" s="528"/>
      <c r="K96" s="527"/>
      <c r="L96" s="528"/>
      <c r="M96" s="528"/>
      <c r="N96" s="528"/>
      <c r="O96" s="528"/>
      <c r="P96" s="527"/>
      <c r="Q96" s="528"/>
      <c r="R96" s="528"/>
      <c r="S96" s="528"/>
      <c r="T96" s="528"/>
      <c r="U96" s="528"/>
      <c r="V96" s="527"/>
      <c r="W96" s="527"/>
      <c r="X96" s="527"/>
      <c r="Y96" s="527"/>
      <c r="Z96" s="527"/>
      <c r="AA96" s="527"/>
      <c r="AB96" s="527"/>
      <c r="AC96" s="527"/>
      <c r="AD96" s="527"/>
      <c r="AE96" s="527"/>
      <c r="AF96" s="527"/>
      <c r="AG96" s="527"/>
    </row>
    <row r="97">
      <c r="B97" s="644" t="s">
        <v>1539</v>
      </c>
      <c r="C97" s="533" t="s">
        <v>4469</v>
      </c>
      <c r="D97" s="645" t="s">
        <v>4470</v>
      </c>
      <c r="E97" s="646"/>
      <c r="F97" s="528"/>
      <c r="G97" s="528"/>
      <c r="H97" s="527"/>
      <c r="I97" s="527"/>
      <c r="J97" s="528"/>
      <c r="K97" s="527"/>
      <c r="L97" s="528"/>
      <c r="M97" s="528"/>
      <c r="N97" s="528"/>
      <c r="O97" s="528"/>
      <c r="P97" s="527"/>
      <c r="Q97" s="528"/>
      <c r="R97" s="528"/>
      <c r="S97" s="528"/>
      <c r="T97" s="528"/>
      <c r="U97" s="528"/>
      <c r="V97" s="527"/>
      <c r="W97" s="527"/>
      <c r="X97" s="527"/>
      <c r="Y97" s="527"/>
      <c r="Z97" s="527"/>
      <c r="AA97" s="527"/>
      <c r="AB97" s="527"/>
      <c r="AC97" s="527"/>
      <c r="AD97" s="527"/>
      <c r="AE97" s="527"/>
      <c r="AF97" s="527"/>
      <c r="AG97" s="527"/>
    </row>
    <row r="98">
      <c r="B98" s="644" t="s">
        <v>4471</v>
      </c>
      <c r="C98" s="533" t="s">
        <v>4472</v>
      </c>
      <c r="D98" s="645" t="s">
        <v>4473</v>
      </c>
      <c r="E98" s="646" t="s">
        <v>3728</v>
      </c>
      <c r="F98" s="528"/>
      <c r="G98" s="528"/>
      <c r="H98" s="527"/>
      <c r="I98" s="527"/>
      <c r="J98" s="528"/>
      <c r="K98" s="527"/>
      <c r="L98" s="528"/>
      <c r="M98" s="528"/>
      <c r="N98" s="528"/>
      <c r="O98" s="528"/>
      <c r="P98" s="527"/>
      <c r="Q98" s="528"/>
      <c r="R98" s="528"/>
      <c r="S98" s="528"/>
      <c r="T98" s="528"/>
      <c r="U98" s="528"/>
      <c r="V98" s="527"/>
      <c r="W98" s="527"/>
      <c r="X98" s="527"/>
      <c r="Y98" s="527"/>
      <c r="Z98" s="527"/>
      <c r="AA98" s="527"/>
      <c r="AB98" s="527"/>
      <c r="AC98" s="527"/>
      <c r="AD98" s="527"/>
      <c r="AE98" s="527"/>
      <c r="AF98" s="527"/>
      <c r="AG98" s="527"/>
    </row>
    <row r="99">
      <c r="B99" s="644" t="s">
        <v>4471</v>
      </c>
      <c r="C99" s="533" t="s">
        <v>4474</v>
      </c>
      <c r="D99" s="645" t="s">
        <v>4475</v>
      </c>
      <c r="E99" s="646"/>
      <c r="F99" s="528"/>
      <c r="G99" s="528"/>
      <c r="H99" s="527"/>
      <c r="I99" s="527"/>
      <c r="J99" s="528"/>
      <c r="K99" s="527"/>
      <c r="L99" s="528"/>
      <c r="M99" s="528"/>
      <c r="N99" s="528"/>
      <c r="O99" s="528"/>
      <c r="P99" s="527"/>
      <c r="Q99" s="528"/>
      <c r="R99" s="528"/>
      <c r="S99" s="528"/>
      <c r="T99" s="528"/>
      <c r="U99" s="528"/>
      <c r="V99" s="527"/>
      <c r="W99" s="527"/>
      <c r="X99" s="527"/>
      <c r="Y99" s="527"/>
      <c r="Z99" s="527"/>
      <c r="AA99" s="527"/>
      <c r="AB99" s="527"/>
      <c r="AC99" s="527"/>
      <c r="AD99" s="527"/>
      <c r="AE99" s="527"/>
      <c r="AF99" s="527"/>
      <c r="AG99" s="527"/>
    </row>
    <row r="100">
      <c r="B100" s="644" t="s">
        <v>1528</v>
      </c>
      <c r="C100" s="533" t="s">
        <v>4476</v>
      </c>
      <c r="D100" s="645" t="s">
        <v>129</v>
      </c>
      <c r="E100" s="646"/>
      <c r="F100" s="528"/>
      <c r="G100" s="528"/>
      <c r="H100" s="527"/>
      <c r="I100" s="527"/>
      <c r="J100" s="528"/>
      <c r="K100" s="527"/>
      <c r="L100" s="528"/>
      <c r="M100" s="528"/>
      <c r="N100" s="528"/>
      <c r="O100" s="528"/>
      <c r="P100" s="527"/>
      <c r="Q100" s="528"/>
      <c r="R100" s="528"/>
      <c r="S100" s="528"/>
      <c r="T100" s="528"/>
      <c r="U100" s="528"/>
      <c r="V100" s="527"/>
      <c r="W100" s="527"/>
      <c r="X100" s="527"/>
      <c r="Y100" s="527"/>
      <c r="Z100" s="527"/>
      <c r="AA100" s="527"/>
      <c r="AB100" s="527"/>
      <c r="AC100" s="527"/>
      <c r="AD100" s="527"/>
      <c r="AE100" s="527"/>
      <c r="AF100" s="527"/>
      <c r="AG100" s="527"/>
    </row>
    <row r="101">
      <c r="B101" s="644" t="s">
        <v>1523</v>
      </c>
      <c r="C101" s="533" t="s">
        <v>4477</v>
      </c>
      <c r="D101" s="645" t="s">
        <v>4478</v>
      </c>
      <c r="E101" s="646"/>
      <c r="F101" s="528"/>
      <c r="G101" s="528"/>
      <c r="H101" s="527"/>
      <c r="I101" s="527"/>
      <c r="J101" s="528"/>
      <c r="K101" s="527"/>
      <c r="L101" s="528"/>
      <c r="M101" s="528"/>
      <c r="N101" s="528"/>
      <c r="O101" s="528"/>
      <c r="P101" s="527"/>
      <c r="Q101" s="528"/>
      <c r="R101" s="528"/>
      <c r="S101" s="528"/>
      <c r="T101" s="528"/>
      <c r="U101" s="528"/>
      <c r="V101" s="527"/>
      <c r="W101" s="527"/>
      <c r="X101" s="527"/>
      <c r="Y101" s="527"/>
      <c r="Z101" s="527"/>
      <c r="AA101" s="527"/>
      <c r="AB101" s="527"/>
      <c r="AC101" s="527"/>
      <c r="AD101" s="527"/>
      <c r="AE101" s="527"/>
      <c r="AF101" s="527"/>
      <c r="AG101" s="527"/>
    </row>
    <row r="102">
      <c r="B102" s="644" t="s">
        <v>1518</v>
      </c>
      <c r="C102" s="533" t="s">
        <v>4479</v>
      </c>
      <c r="D102" s="645" t="s">
        <v>4480</v>
      </c>
      <c r="E102" s="646" t="s">
        <v>3728</v>
      </c>
      <c r="F102" s="528"/>
      <c r="G102" s="528"/>
      <c r="H102" s="527"/>
      <c r="I102" s="527"/>
      <c r="J102" s="528"/>
      <c r="K102" s="527"/>
      <c r="L102" s="528"/>
      <c r="M102" s="528"/>
      <c r="N102" s="528"/>
      <c r="O102" s="528"/>
      <c r="P102" s="527"/>
      <c r="Q102" s="528"/>
      <c r="R102" s="528"/>
      <c r="S102" s="528"/>
      <c r="T102" s="528"/>
      <c r="U102" s="528"/>
      <c r="V102" s="527"/>
      <c r="W102" s="527"/>
      <c r="X102" s="527"/>
      <c r="Y102" s="527"/>
      <c r="Z102" s="527"/>
      <c r="AA102" s="527"/>
      <c r="AB102" s="527"/>
      <c r="AC102" s="527"/>
      <c r="AD102" s="527"/>
      <c r="AE102" s="527"/>
      <c r="AF102" s="527"/>
      <c r="AG102" s="527"/>
    </row>
    <row r="103">
      <c r="B103" s="644" t="s">
        <v>4481</v>
      </c>
      <c r="C103" s="533" t="s">
        <v>4482</v>
      </c>
      <c r="D103" s="645" t="s">
        <v>4483</v>
      </c>
      <c r="E103" s="646"/>
      <c r="F103" s="528"/>
      <c r="G103" s="528"/>
      <c r="H103" s="527"/>
      <c r="I103" s="527"/>
      <c r="J103" s="528"/>
      <c r="K103" s="527"/>
      <c r="L103" s="528"/>
      <c r="M103" s="528"/>
      <c r="N103" s="528"/>
      <c r="O103" s="528"/>
      <c r="P103" s="527"/>
      <c r="Q103" s="528"/>
      <c r="R103" s="528"/>
      <c r="S103" s="528"/>
      <c r="T103" s="528"/>
      <c r="U103" s="528"/>
      <c r="V103" s="527"/>
      <c r="W103" s="527"/>
      <c r="X103" s="527"/>
      <c r="Y103" s="527"/>
      <c r="Z103" s="527"/>
      <c r="AA103" s="527"/>
      <c r="AB103" s="527"/>
      <c r="AC103" s="527"/>
      <c r="AD103" s="527"/>
      <c r="AE103" s="527"/>
      <c r="AF103" s="527"/>
      <c r="AG103" s="527"/>
    </row>
    <row r="104">
      <c r="A104" s="648" t="s">
        <v>1893</v>
      </c>
      <c r="B104" s="649" t="s">
        <v>1970</v>
      </c>
      <c r="C104" s="542" t="s">
        <v>3726</v>
      </c>
      <c r="D104" s="650" t="s">
        <v>3724</v>
      </c>
      <c r="E104" s="647"/>
      <c r="F104" s="537"/>
      <c r="G104" s="537"/>
      <c r="H104" s="537">
        <v>1.0</v>
      </c>
      <c r="I104" s="536"/>
      <c r="J104" s="537">
        <v>1.0</v>
      </c>
      <c r="K104" s="536"/>
      <c r="L104" s="537">
        <v>1.0</v>
      </c>
      <c r="M104" s="536"/>
      <c r="N104" s="537">
        <v>1.0</v>
      </c>
      <c r="O104" s="536"/>
      <c r="P104" s="536"/>
      <c r="Q104" s="537">
        <v>1.0</v>
      </c>
      <c r="R104" s="537"/>
      <c r="S104" s="537"/>
      <c r="T104" s="537" t="str">
        <f t="shared" ref="T104:T308" si="1">if(C104 = "No fork...", 1,)</f>
        <v/>
      </c>
      <c r="U104" s="536"/>
      <c r="V104" s="536"/>
      <c r="W104" s="536"/>
      <c r="X104" s="536"/>
      <c r="Y104" s="536"/>
      <c r="Z104" s="536"/>
      <c r="AA104" s="536"/>
      <c r="AB104" s="536"/>
      <c r="AC104" s="536"/>
      <c r="AD104" s="536"/>
      <c r="AE104" s="536"/>
      <c r="AF104" s="536"/>
      <c r="AG104" s="536"/>
    </row>
    <row r="105">
      <c r="B105" s="649" t="s">
        <v>1965</v>
      </c>
      <c r="C105" s="542" t="s">
        <v>3729</v>
      </c>
      <c r="D105" s="650" t="s">
        <v>3727</v>
      </c>
      <c r="E105" s="642" t="s">
        <v>3728</v>
      </c>
      <c r="F105" s="537"/>
      <c r="G105" s="537"/>
      <c r="H105" s="536"/>
      <c r="I105" s="536"/>
      <c r="J105" s="536"/>
      <c r="K105" s="536"/>
      <c r="L105" s="536"/>
      <c r="M105" s="536"/>
      <c r="N105" s="536"/>
      <c r="O105" s="536"/>
      <c r="P105" s="536"/>
      <c r="Q105" s="536"/>
      <c r="R105" s="537"/>
      <c r="S105" s="537"/>
      <c r="T105" s="537" t="str">
        <f t="shared" si="1"/>
        <v/>
      </c>
      <c r="U105" s="536"/>
      <c r="V105" s="536"/>
      <c r="W105" s="536"/>
      <c r="X105" s="536"/>
      <c r="Y105" s="536"/>
      <c r="Z105" s="536"/>
      <c r="AA105" s="536"/>
      <c r="AB105" s="536"/>
      <c r="AC105" s="536"/>
      <c r="AD105" s="536"/>
      <c r="AE105" s="536"/>
      <c r="AF105" s="536"/>
      <c r="AG105" s="536"/>
    </row>
    <row r="106">
      <c r="B106" s="649" t="s">
        <v>1960</v>
      </c>
      <c r="C106" s="542" t="s">
        <v>3731</v>
      </c>
      <c r="D106" s="650" t="s">
        <v>3730</v>
      </c>
      <c r="E106" s="642" t="s">
        <v>1263</v>
      </c>
      <c r="F106" s="537"/>
      <c r="G106" s="537"/>
      <c r="H106" s="536"/>
      <c r="I106" s="536"/>
      <c r="J106" s="537">
        <v>1.0</v>
      </c>
      <c r="K106" s="536"/>
      <c r="L106" s="536"/>
      <c r="M106" s="536"/>
      <c r="N106" s="537"/>
      <c r="O106" s="537">
        <v>1.0</v>
      </c>
      <c r="P106" s="536"/>
      <c r="Q106" s="537">
        <v>1.0</v>
      </c>
      <c r="R106" s="537"/>
      <c r="S106" s="537"/>
      <c r="T106" s="537" t="str">
        <f t="shared" si="1"/>
        <v/>
      </c>
      <c r="U106" s="536"/>
      <c r="V106" s="536"/>
      <c r="W106" s="536"/>
      <c r="X106" s="536"/>
      <c r="Y106" s="536"/>
      <c r="Z106" s="536"/>
      <c r="AA106" s="536"/>
      <c r="AB106" s="536"/>
      <c r="AC106" s="536"/>
      <c r="AD106" s="536"/>
      <c r="AE106" s="536"/>
      <c r="AF106" s="536"/>
      <c r="AG106" s="536"/>
    </row>
    <row r="107">
      <c r="B107" s="649" t="s">
        <v>1955</v>
      </c>
      <c r="C107" s="542" t="s">
        <v>3733</v>
      </c>
      <c r="D107" s="650" t="s">
        <v>3732</v>
      </c>
      <c r="E107" s="642" t="s">
        <v>3728</v>
      </c>
      <c r="F107" s="537"/>
      <c r="G107" s="537"/>
      <c r="H107" s="536"/>
      <c r="I107" s="536"/>
      <c r="J107" s="536"/>
      <c r="K107" s="536"/>
      <c r="L107" s="536"/>
      <c r="M107" s="536"/>
      <c r="N107" s="536"/>
      <c r="O107" s="536"/>
      <c r="P107" s="536"/>
      <c r="Q107" s="536"/>
      <c r="R107" s="537"/>
      <c r="S107" s="537"/>
      <c r="T107" s="537" t="str">
        <f t="shared" si="1"/>
        <v/>
      </c>
      <c r="U107" s="536"/>
      <c r="V107" s="536"/>
      <c r="W107" s="536"/>
      <c r="X107" s="536"/>
      <c r="Y107" s="536"/>
      <c r="Z107" s="536"/>
      <c r="AA107" s="536"/>
      <c r="AB107" s="536"/>
      <c r="AC107" s="536"/>
      <c r="AD107" s="536"/>
      <c r="AE107" s="536"/>
      <c r="AF107" s="536"/>
      <c r="AG107" s="536"/>
    </row>
    <row r="108">
      <c r="B108" s="649" t="s">
        <v>1949</v>
      </c>
      <c r="C108" s="542" t="s">
        <v>3734</v>
      </c>
      <c r="D108" s="650" t="s">
        <v>875</v>
      </c>
      <c r="E108" s="647"/>
      <c r="F108" s="537"/>
      <c r="G108" s="537"/>
      <c r="H108" s="536"/>
      <c r="I108" s="537">
        <v>1.0</v>
      </c>
      <c r="J108" s="537">
        <v>1.0</v>
      </c>
      <c r="K108" s="536"/>
      <c r="L108" s="536"/>
      <c r="M108" s="536"/>
      <c r="N108" s="537"/>
      <c r="O108" s="537">
        <v>1.0</v>
      </c>
      <c r="P108" s="536"/>
      <c r="Q108" s="537">
        <v>1.0</v>
      </c>
      <c r="R108" s="537"/>
      <c r="S108" s="537">
        <v>1.0</v>
      </c>
      <c r="T108" s="537" t="str">
        <f t="shared" si="1"/>
        <v/>
      </c>
      <c r="U108" s="536"/>
      <c r="V108" s="536"/>
      <c r="W108" s="536"/>
      <c r="X108" s="536"/>
      <c r="Y108" s="536"/>
      <c r="Z108" s="536"/>
      <c r="AA108" s="536"/>
      <c r="AB108" s="536"/>
      <c r="AC108" s="536"/>
      <c r="AD108" s="536"/>
      <c r="AE108" s="536"/>
      <c r="AF108" s="536"/>
      <c r="AG108" s="536"/>
    </row>
    <row r="109">
      <c r="B109" s="649" t="s">
        <v>1942</v>
      </c>
      <c r="C109" s="542" t="s">
        <v>3736</v>
      </c>
      <c r="D109" s="650" t="s">
        <v>3735</v>
      </c>
      <c r="E109" s="642" t="s">
        <v>3728</v>
      </c>
      <c r="F109" s="537"/>
      <c r="G109" s="537"/>
      <c r="H109" s="536"/>
      <c r="I109" s="536"/>
      <c r="J109" s="536"/>
      <c r="K109" s="536"/>
      <c r="L109" s="536"/>
      <c r="M109" s="536"/>
      <c r="N109" s="536"/>
      <c r="O109" s="536"/>
      <c r="P109" s="536"/>
      <c r="Q109" s="536"/>
      <c r="R109" s="537"/>
      <c r="S109" s="537"/>
      <c r="T109" s="537" t="str">
        <f t="shared" si="1"/>
        <v/>
      </c>
      <c r="U109" s="536"/>
      <c r="V109" s="536"/>
      <c r="W109" s="536"/>
      <c r="X109" s="536"/>
      <c r="Y109" s="536"/>
      <c r="Z109" s="536"/>
      <c r="AA109" s="536"/>
      <c r="AB109" s="536"/>
      <c r="AC109" s="536"/>
      <c r="AD109" s="536"/>
      <c r="AE109" s="536"/>
      <c r="AF109" s="536"/>
      <c r="AG109" s="536"/>
    </row>
    <row r="110">
      <c r="B110" s="649" t="s">
        <v>1936</v>
      </c>
      <c r="C110" s="542" t="s">
        <v>3738</v>
      </c>
      <c r="D110" s="650" t="s">
        <v>3737</v>
      </c>
      <c r="E110" s="642" t="s">
        <v>3728</v>
      </c>
      <c r="F110" s="537"/>
      <c r="G110" s="537"/>
      <c r="H110" s="536"/>
      <c r="I110" s="536"/>
      <c r="J110" s="536"/>
      <c r="K110" s="536"/>
      <c r="L110" s="536"/>
      <c r="M110" s="536"/>
      <c r="N110" s="536"/>
      <c r="O110" s="536"/>
      <c r="P110" s="536"/>
      <c r="Q110" s="536"/>
      <c r="R110" s="537"/>
      <c r="S110" s="537"/>
      <c r="T110" s="537" t="str">
        <f t="shared" si="1"/>
        <v/>
      </c>
      <c r="U110" s="536"/>
      <c r="V110" s="536"/>
      <c r="W110" s="536"/>
      <c r="X110" s="536"/>
      <c r="Y110" s="536"/>
      <c r="Z110" s="536"/>
      <c r="AA110" s="536"/>
      <c r="AB110" s="536"/>
      <c r="AC110" s="536"/>
      <c r="AD110" s="536"/>
      <c r="AE110" s="536"/>
      <c r="AF110" s="536"/>
      <c r="AG110" s="536"/>
    </row>
    <row r="111">
      <c r="B111" s="649" t="s">
        <v>1931</v>
      </c>
      <c r="C111" s="542" t="s">
        <v>3740</v>
      </c>
      <c r="D111" s="650" t="s">
        <v>3739</v>
      </c>
      <c r="E111" s="642" t="s">
        <v>3728</v>
      </c>
      <c r="F111" s="537"/>
      <c r="G111" s="537"/>
      <c r="H111" s="536"/>
      <c r="I111" s="536"/>
      <c r="J111" s="536"/>
      <c r="K111" s="536"/>
      <c r="L111" s="536"/>
      <c r="M111" s="536"/>
      <c r="N111" s="536"/>
      <c r="O111" s="536"/>
      <c r="P111" s="536"/>
      <c r="Q111" s="536"/>
      <c r="R111" s="537"/>
      <c r="S111" s="537"/>
      <c r="T111" s="537" t="str">
        <f t="shared" si="1"/>
        <v/>
      </c>
      <c r="U111" s="536"/>
      <c r="V111" s="536"/>
      <c r="W111" s="536"/>
      <c r="X111" s="536"/>
      <c r="Y111" s="536"/>
      <c r="Z111" s="536"/>
      <c r="AA111" s="536"/>
      <c r="AB111" s="536"/>
      <c r="AC111" s="536"/>
      <c r="AD111" s="536"/>
      <c r="AE111" s="536"/>
      <c r="AF111" s="536"/>
      <c r="AG111" s="536"/>
    </row>
    <row r="112">
      <c r="B112" s="649" t="s">
        <v>1926</v>
      </c>
      <c r="C112" s="542" t="s">
        <v>3743</v>
      </c>
      <c r="D112" s="650" t="s">
        <v>3741</v>
      </c>
      <c r="E112" s="647"/>
      <c r="F112" s="537"/>
      <c r="G112" s="537"/>
      <c r="H112" s="536"/>
      <c r="I112" s="536"/>
      <c r="J112" s="536"/>
      <c r="K112" s="536"/>
      <c r="L112" s="536"/>
      <c r="M112" s="536"/>
      <c r="N112" s="537">
        <v>1.0</v>
      </c>
      <c r="O112" s="536"/>
      <c r="P112" s="536"/>
      <c r="Q112" s="537">
        <v>1.0</v>
      </c>
      <c r="R112" s="537">
        <v>1.0</v>
      </c>
      <c r="S112" s="537"/>
      <c r="T112" s="537" t="str">
        <f t="shared" si="1"/>
        <v/>
      </c>
      <c r="U112" s="536"/>
      <c r="V112" s="536"/>
      <c r="W112" s="536"/>
      <c r="X112" s="536"/>
      <c r="Y112" s="536"/>
      <c r="Z112" s="536"/>
      <c r="AA112" s="536"/>
      <c r="AB112" s="536"/>
      <c r="AC112" s="536"/>
      <c r="AD112" s="536"/>
      <c r="AE112" s="536"/>
      <c r="AF112" s="536"/>
      <c r="AG112" s="536"/>
    </row>
    <row r="113">
      <c r="B113" s="649" t="s">
        <v>1920</v>
      </c>
      <c r="C113" s="542" t="s">
        <v>3745</v>
      </c>
      <c r="D113" s="650" t="s">
        <v>3744</v>
      </c>
      <c r="E113" s="642" t="s">
        <v>3728</v>
      </c>
      <c r="F113" s="537"/>
      <c r="G113" s="537"/>
      <c r="H113" s="536"/>
      <c r="I113" s="536"/>
      <c r="J113" s="536"/>
      <c r="K113" s="536"/>
      <c r="L113" s="536"/>
      <c r="M113" s="536"/>
      <c r="N113" s="536"/>
      <c r="O113" s="536"/>
      <c r="P113" s="536"/>
      <c r="Q113" s="536"/>
      <c r="R113" s="537"/>
      <c r="S113" s="537"/>
      <c r="T113" s="537" t="str">
        <f t="shared" si="1"/>
        <v/>
      </c>
      <c r="U113" s="536"/>
      <c r="V113" s="536"/>
      <c r="W113" s="536"/>
      <c r="X113" s="536"/>
      <c r="Y113" s="536"/>
      <c r="Z113" s="536"/>
      <c r="AA113" s="536"/>
      <c r="AB113" s="536"/>
      <c r="AC113" s="536"/>
      <c r="AD113" s="536"/>
      <c r="AE113" s="536"/>
      <c r="AF113" s="536"/>
      <c r="AG113" s="536"/>
    </row>
    <row r="114">
      <c r="B114" s="649" t="s">
        <v>1914</v>
      </c>
      <c r="C114" s="542" t="s">
        <v>3747</v>
      </c>
      <c r="D114" s="650" t="s">
        <v>3746</v>
      </c>
      <c r="E114" s="642" t="s">
        <v>3728</v>
      </c>
      <c r="F114" s="537"/>
      <c r="G114" s="537"/>
      <c r="H114" s="536"/>
      <c r="I114" s="536"/>
      <c r="J114" s="536"/>
      <c r="K114" s="536"/>
      <c r="L114" s="536"/>
      <c r="M114" s="536"/>
      <c r="N114" s="536"/>
      <c r="O114" s="536"/>
      <c r="P114" s="536"/>
      <c r="Q114" s="536"/>
      <c r="R114" s="537"/>
      <c r="S114" s="537"/>
      <c r="T114" s="537" t="str">
        <f t="shared" si="1"/>
        <v/>
      </c>
      <c r="U114" s="536"/>
      <c r="V114" s="536"/>
      <c r="W114" s="536"/>
      <c r="X114" s="536"/>
      <c r="Y114" s="536"/>
      <c r="Z114" s="536"/>
      <c r="AA114" s="536"/>
      <c r="AB114" s="536"/>
      <c r="AC114" s="536"/>
      <c r="AD114" s="536"/>
      <c r="AE114" s="536"/>
      <c r="AF114" s="536"/>
      <c r="AG114" s="536"/>
    </row>
    <row r="115">
      <c r="B115" s="649" t="s">
        <v>1909</v>
      </c>
      <c r="C115" s="542" t="s">
        <v>3749</v>
      </c>
      <c r="D115" s="650" t="s">
        <v>3748</v>
      </c>
      <c r="E115" s="642" t="s">
        <v>3728</v>
      </c>
      <c r="F115" s="537"/>
      <c r="G115" s="537"/>
      <c r="H115" s="536"/>
      <c r="I115" s="536"/>
      <c r="J115" s="536"/>
      <c r="K115" s="536"/>
      <c r="L115" s="536"/>
      <c r="M115" s="536"/>
      <c r="N115" s="536"/>
      <c r="O115" s="536"/>
      <c r="P115" s="536"/>
      <c r="Q115" s="536"/>
      <c r="R115" s="537"/>
      <c r="S115" s="537"/>
      <c r="T115" s="537" t="str">
        <f t="shared" si="1"/>
        <v/>
      </c>
      <c r="U115" s="536"/>
      <c r="V115" s="536"/>
      <c r="W115" s="536"/>
      <c r="X115" s="536"/>
      <c r="Y115" s="536"/>
      <c r="Z115" s="536"/>
      <c r="AA115" s="536"/>
      <c r="AB115" s="536"/>
      <c r="AC115" s="536"/>
      <c r="AD115" s="536"/>
      <c r="AE115" s="536"/>
      <c r="AF115" s="536"/>
      <c r="AG115" s="536"/>
    </row>
    <row r="116">
      <c r="B116" s="649" t="s">
        <v>1904</v>
      </c>
      <c r="C116" s="542" t="s">
        <v>3751</v>
      </c>
      <c r="D116" s="650" t="s">
        <v>3750</v>
      </c>
      <c r="E116" s="642" t="s">
        <v>3728</v>
      </c>
      <c r="F116" s="537"/>
      <c r="G116" s="537"/>
      <c r="H116" s="536"/>
      <c r="I116" s="536"/>
      <c r="J116" s="536"/>
      <c r="K116" s="536"/>
      <c r="L116" s="536"/>
      <c r="M116" s="536"/>
      <c r="N116" s="536"/>
      <c r="O116" s="536"/>
      <c r="P116" s="536"/>
      <c r="Q116" s="536"/>
      <c r="R116" s="537"/>
      <c r="S116" s="537"/>
      <c r="T116" s="537" t="str">
        <f t="shared" si="1"/>
        <v/>
      </c>
      <c r="U116" s="536"/>
      <c r="V116" s="536"/>
      <c r="W116" s="536"/>
      <c r="X116" s="536"/>
      <c r="Y116" s="536"/>
      <c r="Z116" s="536"/>
      <c r="AA116" s="536"/>
      <c r="AB116" s="536"/>
      <c r="AC116" s="536"/>
      <c r="AD116" s="536"/>
      <c r="AE116" s="536"/>
      <c r="AF116" s="536"/>
      <c r="AG116" s="536"/>
    </row>
    <row r="117">
      <c r="B117" s="649" t="s">
        <v>1899</v>
      </c>
      <c r="C117" s="542" t="s">
        <v>3753</v>
      </c>
      <c r="D117" s="650" t="s">
        <v>3752</v>
      </c>
      <c r="E117" s="642" t="s">
        <v>3728</v>
      </c>
      <c r="F117" s="537"/>
      <c r="G117" s="537"/>
      <c r="H117" s="536"/>
      <c r="I117" s="536"/>
      <c r="J117" s="536"/>
      <c r="K117" s="536"/>
      <c r="L117" s="536"/>
      <c r="M117" s="536"/>
      <c r="N117" s="536"/>
      <c r="O117" s="536"/>
      <c r="P117" s="536"/>
      <c r="Q117" s="536"/>
      <c r="R117" s="537"/>
      <c r="S117" s="537"/>
      <c r="T117" s="537" t="str">
        <f t="shared" si="1"/>
        <v/>
      </c>
      <c r="U117" s="536"/>
      <c r="V117" s="536"/>
      <c r="W117" s="536"/>
      <c r="X117" s="536"/>
      <c r="Y117" s="536"/>
      <c r="Z117" s="536"/>
      <c r="AA117" s="536"/>
      <c r="AB117" s="536"/>
      <c r="AC117" s="536"/>
      <c r="AD117" s="536"/>
      <c r="AE117" s="536"/>
      <c r="AF117" s="536"/>
      <c r="AG117" s="536"/>
    </row>
    <row r="118">
      <c r="B118" s="649" t="s">
        <v>1894</v>
      </c>
      <c r="C118" s="542" t="s">
        <v>3756</v>
      </c>
      <c r="D118" s="650" t="s">
        <v>3754</v>
      </c>
      <c r="E118" s="647"/>
      <c r="F118" s="537"/>
      <c r="G118" s="537"/>
      <c r="H118" s="536"/>
      <c r="I118" s="537">
        <v>1.0</v>
      </c>
      <c r="J118" s="537">
        <v>1.0</v>
      </c>
      <c r="K118" s="536"/>
      <c r="L118" s="537"/>
      <c r="M118" s="536"/>
      <c r="N118" s="537"/>
      <c r="O118" s="537">
        <v>1.0</v>
      </c>
      <c r="P118" s="536"/>
      <c r="Q118" s="537">
        <v>1.0</v>
      </c>
      <c r="R118" s="537"/>
      <c r="S118" s="537"/>
      <c r="T118" s="537" t="str">
        <f t="shared" si="1"/>
        <v/>
      </c>
      <c r="U118" s="536"/>
      <c r="V118" s="536"/>
      <c r="W118" s="536"/>
      <c r="X118" s="536"/>
      <c r="Y118" s="536"/>
      <c r="Z118" s="536"/>
      <c r="AA118" s="536"/>
      <c r="AB118" s="536"/>
      <c r="AC118" s="536"/>
      <c r="AD118" s="536"/>
      <c r="AE118" s="536"/>
      <c r="AF118" s="536"/>
      <c r="AG118" s="536"/>
    </row>
    <row r="119">
      <c r="A119" s="651" t="s">
        <v>1840</v>
      </c>
      <c r="B119" s="525" t="s">
        <v>1888</v>
      </c>
      <c r="C119" s="533" t="s">
        <v>3758</v>
      </c>
      <c r="D119" s="526" t="s">
        <v>3757</v>
      </c>
      <c r="E119" s="652"/>
      <c r="F119" s="528"/>
      <c r="G119" s="528"/>
      <c r="H119" s="527"/>
      <c r="I119" s="527"/>
      <c r="J119" s="528">
        <v>1.0</v>
      </c>
      <c r="K119" s="527"/>
      <c r="L119" s="528">
        <v>1.0</v>
      </c>
      <c r="M119" s="528">
        <v>1.0</v>
      </c>
      <c r="N119" s="528">
        <v>1.0</v>
      </c>
      <c r="O119" s="528"/>
      <c r="P119" s="527"/>
      <c r="Q119" s="528">
        <v>1.0</v>
      </c>
      <c r="R119" s="528"/>
      <c r="S119" s="528"/>
      <c r="T119" s="528" t="str">
        <f t="shared" si="1"/>
        <v/>
      </c>
      <c r="U119" s="528"/>
      <c r="V119" s="527"/>
      <c r="W119" s="527"/>
      <c r="X119" s="527"/>
      <c r="Y119" s="527"/>
      <c r="Z119" s="527"/>
      <c r="AA119" s="527"/>
      <c r="AB119" s="527"/>
      <c r="AC119" s="527"/>
      <c r="AD119" s="527"/>
      <c r="AE119" s="527"/>
      <c r="AF119" s="527"/>
      <c r="AG119" s="527"/>
    </row>
    <row r="120">
      <c r="B120" s="525" t="s">
        <v>1883</v>
      </c>
      <c r="C120" s="533" t="s">
        <v>3760</v>
      </c>
      <c r="D120" s="526" t="s">
        <v>3759</v>
      </c>
      <c r="E120" s="652"/>
      <c r="F120" s="528"/>
      <c r="G120" s="528"/>
      <c r="H120" s="527"/>
      <c r="I120" s="527"/>
      <c r="J120" s="528">
        <v>1.0</v>
      </c>
      <c r="K120" s="527"/>
      <c r="L120" s="527"/>
      <c r="M120" s="527"/>
      <c r="N120" s="527"/>
      <c r="O120" s="527"/>
      <c r="P120" s="528">
        <v>1.0</v>
      </c>
      <c r="Q120" s="528">
        <v>1.0</v>
      </c>
      <c r="R120" s="528"/>
      <c r="S120" s="528"/>
      <c r="T120" s="528" t="str">
        <f t="shared" si="1"/>
        <v/>
      </c>
      <c r="U120" s="528">
        <v>1.0</v>
      </c>
      <c r="V120" s="528"/>
      <c r="W120" s="527"/>
      <c r="X120" s="527"/>
      <c r="Y120" s="527"/>
      <c r="Z120" s="527"/>
      <c r="AA120" s="527"/>
      <c r="AB120" s="527"/>
      <c r="AC120" s="527"/>
      <c r="AD120" s="527"/>
      <c r="AE120" s="527"/>
      <c r="AF120" s="527"/>
      <c r="AG120" s="527"/>
    </row>
    <row r="121">
      <c r="B121" s="525" t="s">
        <v>1878</v>
      </c>
      <c r="C121" s="533" t="s">
        <v>3761</v>
      </c>
      <c r="D121" s="526" t="s">
        <v>2551</v>
      </c>
      <c r="E121" s="652"/>
      <c r="F121" s="528"/>
      <c r="G121" s="528"/>
      <c r="H121" s="528">
        <v>1.0</v>
      </c>
      <c r="I121" s="528">
        <v>1.0</v>
      </c>
      <c r="J121" s="528">
        <v>1.0</v>
      </c>
      <c r="K121" s="528">
        <v>1.0</v>
      </c>
      <c r="L121" s="527"/>
      <c r="M121" s="528">
        <v>1.0</v>
      </c>
      <c r="N121" s="527"/>
      <c r="O121" s="527"/>
      <c r="P121" s="528">
        <v>1.0</v>
      </c>
      <c r="Q121" s="528">
        <v>1.0</v>
      </c>
      <c r="R121" s="528"/>
      <c r="S121" s="528"/>
      <c r="T121" s="528" t="str">
        <f t="shared" si="1"/>
        <v/>
      </c>
      <c r="U121" s="527"/>
      <c r="V121" s="527"/>
      <c r="W121" s="527"/>
      <c r="X121" s="527"/>
      <c r="Y121" s="527"/>
      <c r="Z121" s="527"/>
      <c r="AA121" s="527"/>
      <c r="AB121" s="527"/>
      <c r="AC121" s="527"/>
      <c r="AD121" s="527"/>
      <c r="AE121" s="527"/>
      <c r="AF121" s="527"/>
      <c r="AG121" s="527"/>
    </row>
    <row r="122">
      <c r="B122" s="525" t="s">
        <v>1873</v>
      </c>
      <c r="C122" s="533" t="s">
        <v>3763</v>
      </c>
      <c r="D122" s="526" t="s">
        <v>3762</v>
      </c>
      <c r="E122" s="646" t="s">
        <v>3728</v>
      </c>
      <c r="F122" s="528"/>
      <c r="G122" s="528"/>
      <c r="H122" s="527"/>
      <c r="I122" s="527"/>
      <c r="J122" s="527"/>
      <c r="K122" s="527"/>
      <c r="L122" s="527"/>
      <c r="M122" s="527"/>
      <c r="N122" s="527"/>
      <c r="O122" s="527"/>
      <c r="P122" s="527"/>
      <c r="Q122" s="527"/>
      <c r="R122" s="528"/>
      <c r="S122" s="528"/>
      <c r="T122" s="528" t="str">
        <f t="shared" si="1"/>
        <v/>
      </c>
      <c r="U122" s="527"/>
      <c r="V122" s="527"/>
      <c r="W122" s="527"/>
      <c r="X122" s="527"/>
      <c r="Y122" s="527"/>
      <c r="Z122" s="527"/>
      <c r="AA122" s="527"/>
      <c r="AB122" s="527"/>
      <c r="AC122" s="527"/>
      <c r="AD122" s="527"/>
      <c r="AE122" s="527"/>
      <c r="AF122" s="527"/>
      <c r="AG122" s="527"/>
    </row>
    <row r="123">
      <c r="B123" s="525" t="s">
        <v>1868</v>
      </c>
      <c r="C123" s="533" t="s">
        <v>3764</v>
      </c>
      <c r="D123" s="526" t="s">
        <v>2572</v>
      </c>
      <c r="E123" s="646" t="s">
        <v>3728</v>
      </c>
      <c r="F123" s="528"/>
      <c r="G123" s="528"/>
      <c r="H123" s="527"/>
      <c r="I123" s="527"/>
      <c r="J123" s="527"/>
      <c r="K123" s="527"/>
      <c r="L123" s="527"/>
      <c r="M123" s="527"/>
      <c r="N123" s="527"/>
      <c r="O123" s="527"/>
      <c r="P123" s="527"/>
      <c r="Q123" s="527"/>
      <c r="R123" s="528"/>
      <c r="S123" s="528"/>
      <c r="T123" s="528" t="str">
        <f t="shared" si="1"/>
        <v/>
      </c>
      <c r="U123" s="527"/>
      <c r="V123" s="527"/>
      <c r="W123" s="527"/>
      <c r="X123" s="527"/>
      <c r="Y123" s="527"/>
      <c r="Z123" s="527"/>
      <c r="AA123" s="527"/>
      <c r="AB123" s="527"/>
      <c r="AC123" s="527"/>
      <c r="AD123" s="527"/>
      <c r="AE123" s="527"/>
      <c r="AF123" s="527"/>
      <c r="AG123" s="527"/>
    </row>
    <row r="124">
      <c r="B124" s="525" t="s">
        <v>1863</v>
      </c>
      <c r="C124" s="533" t="s">
        <v>3766</v>
      </c>
      <c r="D124" s="526" t="s">
        <v>3765</v>
      </c>
      <c r="E124" s="652"/>
      <c r="F124" s="528"/>
      <c r="G124" s="528"/>
      <c r="H124" s="527"/>
      <c r="I124" s="527"/>
      <c r="J124" s="528">
        <v>1.0</v>
      </c>
      <c r="K124" s="528">
        <v>1.0</v>
      </c>
      <c r="L124" s="528">
        <v>1.0</v>
      </c>
      <c r="M124" s="527"/>
      <c r="N124" s="528">
        <v>1.0</v>
      </c>
      <c r="O124" s="527"/>
      <c r="P124" s="527"/>
      <c r="Q124" s="527"/>
      <c r="R124" s="528"/>
      <c r="S124" s="528"/>
      <c r="T124" s="528" t="str">
        <f t="shared" si="1"/>
        <v/>
      </c>
      <c r="U124" s="527"/>
      <c r="V124" s="527"/>
      <c r="W124" s="527"/>
      <c r="X124" s="527"/>
      <c r="Y124" s="527"/>
      <c r="Z124" s="527"/>
      <c r="AA124" s="527"/>
      <c r="AB124" s="527"/>
      <c r="AC124" s="527"/>
      <c r="AD124" s="527"/>
      <c r="AE124" s="527"/>
      <c r="AF124" s="527"/>
      <c r="AG124" s="527"/>
    </row>
    <row r="125">
      <c r="B125" s="525" t="s">
        <v>1859</v>
      </c>
      <c r="C125" s="533" t="s">
        <v>3768</v>
      </c>
      <c r="D125" s="526" t="s">
        <v>3767</v>
      </c>
      <c r="E125" s="646" t="s">
        <v>3728</v>
      </c>
      <c r="F125" s="528"/>
      <c r="G125" s="528"/>
      <c r="H125" s="527"/>
      <c r="I125" s="527"/>
      <c r="J125" s="527"/>
      <c r="K125" s="527"/>
      <c r="L125" s="527"/>
      <c r="M125" s="527"/>
      <c r="N125" s="527"/>
      <c r="O125" s="527"/>
      <c r="P125" s="527"/>
      <c r="Q125" s="527"/>
      <c r="R125" s="528"/>
      <c r="S125" s="528"/>
      <c r="T125" s="528" t="str">
        <f t="shared" si="1"/>
        <v/>
      </c>
      <c r="U125" s="527"/>
      <c r="V125" s="527"/>
      <c r="W125" s="527"/>
      <c r="X125" s="527"/>
      <c r="Y125" s="527"/>
      <c r="Z125" s="527"/>
      <c r="AA125" s="527"/>
      <c r="AB125" s="527"/>
      <c r="AC125" s="527"/>
      <c r="AD125" s="527"/>
      <c r="AE125" s="527"/>
      <c r="AF125" s="527"/>
      <c r="AG125" s="527"/>
    </row>
    <row r="126">
      <c r="B126" s="525" t="s">
        <v>1854</v>
      </c>
      <c r="C126" s="533" t="s">
        <v>3770</v>
      </c>
      <c r="D126" s="526" t="s">
        <v>3769</v>
      </c>
      <c r="E126" s="652"/>
      <c r="F126" s="528"/>
      <c r="G126" s="528"/>
      <c r="H126" s="528">
        <v>1.0</v>
      </c>
      <c r="I126" s="528">
        <v>1.0</v>
      </c>
      <c r="J126" s="528">
        <v>1.0</v>
      </c>
      <c r="K126" s="527"/>
      <c r="L126" s="528">
        <v>1.0</v>
      </c>
      <c r="M126" s="527"/>
      <c r="N126" s="527"/>
      <c r="O126" s="527"/>
      <c r="P126" s="527"/>
      <c r="Q126" s="527"/>
      <c r="R126" s="528"/>
      <c r="S126" s="528"/>
      <c r="T126" s="528" t="str">
        <f t="shared" si="1"/>
        <v/>
      </c>
      <c r="U126" s="528">
        <v>1.0</v>
      </c>
      <c r="V126" s="528"/>
      <c r="W126" s="527"/>
      <c r="X126" s="527"/>
      <c r="Y126" s="527"/>
      <c r="Z126" s="527"/>
      <c r="AA126" s="527"/>
      <c r="AB126" s="527"/>
      <c r="AC126" s="527"/>
      <c r="AD126" s="527"/>
      <c r="AE126" s="527"/>
      <c r="AF126" s="527"/>
      <c r="AG126" s="527"/>
    </row>
    <row r="127">
      <c r="B127" s="525" t="s">
        <v>1849</v>
      </c>
      <c r="C127" s="533" t="s">
        <v>3772</v>
      </c>
      <c r="D127" s="526" t="s">
        <v>3771</v>
      </c>
      <c r="E127" s="652"/>
      <c r="F127" s="528"/>
      <c r="G127" s="528"/>
      <c r="H127" s="527"/>
      <c r="I127" s="528">
        <v>1.0</v>
      </c>
      <c r="J127" s="528">
        <v>1.0</v>
      </c>
      <c r="K127" s="527"/>
      <c r="L127" s="527"/>
      <c r="M127" s="527"/>
      <c r="N127" s="528">
        <v>1.0</v>
      </c>
      <c r="O127" s="528">
        <v>1.0</v>
      </c>
      <c r="P127" s="527"/>
      <c r="Q127" s="527"/>
      <c r="R127" s="528"/>
      <c r="S127" s="528"/>
      <c r="T127" s="528" t="str">
        <f t="shared" si="1"/>
        <v/>
      </c>
      <c r="U127" s="527"/>
      <c r="V127" s="527"/>
      <c r="W127" s="527"/>
      <c r="X127" s="527"/>
      <c r="Y127" s="527"/>
      <c r="Z127" s="527"/>
      <c r="AA127" s="527"/>
      <c r="AB127" s="527"/>
      <c r="AC127" s="527"/>
      <c r="AD127" s="527"/>
      <c r="AE127" s="527"/>
      <c r="AF127" s="527"/>
      <c r="AG127" s="527"/>
    </row>
    <row r="128">
      <c r="B128" s="525" t="s">
        <v>1845</v>
      </c>
      <c r="C128" s="533" t="s">
        <v>3774</v>
      </c>
      <c r="D128" s="526" t="s">
        <v>3773</v>
      </c>
      <c r="E128" s="646" t="s">
        <v>1263</v>
      </c>
      <c r="F128" s="528"/>
      <c r="G128" s="528"/>
      <c r="H128" s="527"/>
      <c r="I128" s="527"/>
      <c r="J128" s="528">
        <v>1.0</v>
      </c>
      <c r="K128" s="527"/>
      <c r="L128" s="527"/>
      <c r="M128" s="527"/>
      <c r="N128" s="527"/>
      <c r="O128" s="527"/>
      <c r="P128" s="527"/>
      <c r="Q128" s="527"/>
      <c r="R128" s="528"/>
      <c r="S128" s="528"/>
      <c r="T128" s="528" t="str">
        <f t="shared" si="1"/>
        <v/>
      </c>
      <c r="U128" s="527"/>
      <c r="V128" s="527"/>
      <c r="W128" s="527"/>
      <c r="X128" s="527"/>
      <c r="Y128" s="527"/>
      <c r="Z128" s="527"/>
      <c r="AA128" s="527"/>
      <c r="AB128" s="527"/>
      <c r="AC128" s="527"/>
      <c r="AD128" s="527"/>
      <c r="AE128" s="527"/>
      <c r="AF128" s="527"/>
      <c r="AG128" s="527"/>
    </row>
    <row r="129">
      <c r="B129" s="525" t="s">
        <v>1841</v>
      </c>
      <c r="C129" s="533" t="s">
        <v>3776</v>
      </c>
      <c r="D129" s="526" t="s">
        <v>3775</v>
      </c>
      <c r="E129" s="652"/>
      <c r="F129" s="528"/>
      <c r="G129" s="528"/>
      <c r="H129" s="527"/>
      <c r="I129" s="528">
        <v>1.0</v>
      </c>
      <c r="J129" s="527"/>
      <c r="K129" s="527"/>
      <c r="L129" s="527"/>
      <c r="M129" s="527"/>
      <c r="N129" s="528">
        <v>1.0</v>
      </c>
      <c r="O129" s="528">
        <v>1.0</v>
      </c>
      <c r="P129" s="527"/>
      <c r="Q129" s="527"/>
      <c r="R129" s="528"/>
      <c r="S129" s="528"/>
      <c r="T129" s="528" t="str">
        <f t="shared" si="1"/>
        <v/>
      </c>
      <c r="U129" s="527"/>
      <c r="V129" s="527"/>
      <c r="W129" s="527"/>
      <c r="X129" s="527"/>
      <c r="Y129" s="527"/>
      <c r="Z129" s="527"/>
      <c r="AA129" s="527"/>
      <c r="AB129" s="527"/>
      <c r="AC129" s="527"/>
      <c r="AD129" s="527"/>
      <c r="AE129" s="527"/>
      <c r="AF129" s="527"/>
      <c r="AG129" s="527"/>
    </row>
    <row r="130">
      <c r="A130" s="648" t="s">
        <v>2135</v>
      </c>
      <c r="B130" s="649" t="s">
        <v>2340</v>
      </c>
      <c r="C130" s="542" t="s">
        <v>3779</v>
      </c>
      <c r="D130" s="650" t="s">
        <v>3777</v>
      </c>
      <c r="E130" s="642" t="s">
        <v>3728</v>
      </c>
      <c r="F130" s="537">
        <v>33.0</v>
      </c>
      <c r="G130" s="537">
        <v>36.0</v>
      </c>
      <c r="H130" s="536"/>
      <c r="I130" s="536"/>
      <c r="J130" s="536"/>
      <c r="K130" s="536"/>
      <c r="L130" s="536"/>
      <c r="M130" s="536"/>
      <c r="N130" s="536"/>
      <c r="O130" s="536"/>
      <c r="P130" s="536"/>
      <c r="Q130" s="536"/>
      <c r="R130" s="537"/>
      <c r="S130" s="537"/>
      <c r="T130" s="537" t="str">
        <f t="shared" si="1"/>
        <v/>
      </c>
      <c r="U130" s="536"/>
      <c r="V130" s="536"/>
      <c r="W130" s="536"/>
      <c r="X130" s="536"/>
      <c r="Y130" s="536"/>
      <c r="Z130" s="536"/>
      <c r="AA130" s="536"/>
      <c r="AB130" s="536"/>
      <c r="AC130" s="536"/>
      <c r="AD130" s="536"/>
      <c r="AE130" s="536"/>
      <c r="AF130" s="536"/>
      <c r="AG130" s="536"/>
    </row>
    <row r="131">
      <c r="B131" s="649" t="s">
        <v>2335</v>
      </c>
      <c r="C131" s="542" t="s">
        <v>3781</v>
      </c>
      <c r="D131" s="650" t="s">
        <v>3724</v>
      </c>
      <c r="E131" s="647"/>
      <c r="F131" s="537">
        <v>276.0</v>
      </c>
      <c r="G131" s="537">
        <v>170.0</v>
      </c>
      <c r="H131" s="537">
        <v>1.0</v>
      </c>
      <c r="I131" s="536"/>
      <c r="J131" s="537">
        <v>1.0</v>
      </c>
      <c r="K131" s="537">
        <v>1.0</v>
      </c>
      <c r="L131" s="536"/>
      <c r="M131" s="536"/>
      <c r="N131" s="537">
        <v>1.0</v>
      </c>
      <c r="O131" s="536"/>
      <c r="P131" s="536"/>
      <c r="Q131" s="537">
        <v>1.0</v>
      </c>
      <c r="R131" s="537">
        <v>1.0</v>
      </c>
      <c r="S131" s="537"/>
      <c r="T131" s="537" t="str">
        <f t="shared" si="1"/>
        <v/>
      </c>
      <c r="U131" s="536"/>
      <c r="V131" s="536"/>
      <c r="W131" s="536"/>
      <c r="X131" s="536"/>
      <c r="Y131" s="536"/>
      <c r="Z131" s="536"/>
      <c r="AA131" s="536"/>
      <c r="AB131" s="536"/>
      <c r="AC131" s="536"/>
      <c r="AD131" s="536"/>
      <c r="AE131" s="536"/>
      <c r="AF131" s="536"/>
      <c r="AG131" s="536"/>
    </row>
    <row r="132">
      <c r="B132" s="649" t="s">
        <v>2330</v>
      </c>
      <c r="C132" s="542" t="s">
        <v>3784</v>
      </c>
      <c r="D132" s="650" t="s">
        <v>3782</v>
      </c>
      <c r="E132" s="647"/>
      <c r="F132" s="537">
        <v>244.0</v>
      </c>
      <c r="G132" s="537">
        <v>129.0</v>
      </c>
      <c r="H132" s="536"/>
      <c r="I132" s="537">
        <v>1.0</v>
      </c>
      <c r="J132" s="536"/>
      <c r="K132" s="537">
        <v>1.0</v>
      </c>
      <c r="L132" s="537">
        <v>1.0</v>
      </c>
      <c r="M132" s="536"/>
      <c r="N132" s="537">
        <v>1.0</v>
      </c>
      <c r="O132" s="536"/>
      <c r="P132" s="536"/>
      <c r="Q132" s="537">
        <v>1.0</v>
      </c>
      <c r="R132" s="537"/>
      <c r="S132" s="537"/>
      <c r="T132" s="537" t="str">
        <f t="shared" si="1"/>
        <v/>
      </c>
      <c r="U132" s="536"/>
      <c r="V132" s="536"/>
      <c r="W132" s="536"/>
      <c r="X132" s="536"/>
      <c r="Y132" s="536"/>
      <c r="Z132" s="536"/>
      <c r="AA132" s="536"/>
      <c r="AB132" s="536"/>
      <c r="AC132" s="536"/>
      <c r="AD132" s="536"/>
      <c r="AE132" s="536"/>
      <c r="AF132" s="536"/>
      <c r="AG132" s="536"/>
    </row>
    <row r="133">
      <c r="B133" s="649" t="s">
        <v>2325</v>
      </c>
      <c r="C133" s="542" t="s">
        <v>3786</v>
      </c>
      <c r="D133" s="650" t="s">
        <v>3785</v>
      </c>
      <c r="E133" s="642" t="s">
        <v>3728</v>
      </c>
      <c r="F133" s="537">
        <v>233.0</v>
      </c>
      <c r="G133" s="537">
        <v>10.0</v>
      </c>
      <c r="H133" s="536"/>
      <c r="I133" s="536"/>
      <c r="J133" s="536"/>
      <c r="K133" s="536"/>
      <c r="L133" s="536"/>
      <c r="M133" s="536"/>
      <c r="N133" s="536"/>
      <c r="O133" s="536"/>
      <c r="P133" s="536"/>
      <c r="Q133" s="536"/>
      <c r="R133" s="537"/>
      <c r="S133" s="537"/>
      <c r="T133" s="537" t="str">
        <f t="shared" si="1"/>
        <v/>
      </c>
      <c r="U133" s="536"/>
      <c r="V133" s="536"/>
      <c r="W133" s="536"/>
      <c r="X133" s="536"/>
      <c r="Y133" s="536"/>
      <c r="Z133" s="536"/>
      <c r="AA133" s="536"/>
      <c r="AB133" s="536"/>
      <c r="AC133" s="536"/>
      <c r="AD133" s="536"/>
      <c r="AE133" s="536"/>
      <c r="AF133" s="536"/>
      <c r="AG133" s="536"/>
    </row>
    <row r="134">
      <c r="B134" s="649" t="s">
        <v>2320</v>
      </c>
      <c r="C134" s="542" t="s">
        <v>3788</v>
      </c>
      <c r="D134" s="650" t="s">
        <v>3727</v>
      </c>
      <c r="E134" s="647"/>
      <c r="F134" s="537">
        <v>151.0</v>
      </c>
      <c r="G134" s="537">
        <v>130.0</v>
      </c>
      <c r="H134" s="537">
        <v>1.0</v>
      </c>
      <c r="I134" s="536"/>
      <c r="J134" s="537">
        <v>1.0</v>
      </c>
      <c r="K134" s="536"/>
      <c r="L134" s="536"/>
      <c r="M134" s="536"/>
      <c r="N134" s="536"/>
      <c r="O134" s="536"/>
      <c r="P134" s="536"/>
      <c r="Q134" s="537">
        <v>1.0</v>
      </c>
      <c r="R134" s="537"/>
      <c r="S134" s="537"/>
      <c r="T134" s="537" t="str">
        <f t="shared" si="1"/>
        <v/>
      </c>
      <c r="U134" s="536"/>
      <c r="V134" s="536"/>
      <c r="W134" s="536"/>
      <c r="X134" s="536"/>
      <c r="Y134" s="536"/>
      <c r="Z134" s="536"/>
      <c r="AA134" s="536"/>
      <c r="AB134" s="536"/>
      <c r="AC134" s="536"/>
      <c r="AD134" s="536"/>
      <c r="AE134" s="536"/>
      <c r="AF134" s="536"/>
      <c r="AG134" s="536"/>
    </row>
    <row r="135">
      <c r="B135" s="649" t="s">
        <v>2314</v>
      </c>
      <c r="C135" s="542" t="s">
        <v>3790</v>
      </c>
      <c r="D135" s="650" t="s">
        <v>3730</v>
      </c>
      <c r="E135" s="647"/>
      <c r="F135" s="537">
        <v>595.0</v>
      </c>
      <c r="G135" s="537">
        <v>802.0</v>
      </c>
      <c r="H135" s="536"/>
      <c r="I135" s="536"/>
      <c r="J135" s="536"/>
      <c r="K135" s="536"/>
      <c r="L135" s="536"/>
      <c r="M135" s="536"/>
      <c r="N135" s="536"/>
      <c r="O135" s="536"/>
      <c r="P135" s="536"/>
      <c r="Q135" s="536"/>
      <c r="R135" s="537"/>
      <c r="S135" s="537">
        <v>1.0</v>
      </c>
      <c r="T135" s="537" t="str">
        <f t="shared" si="1"/>
        <v/>
      </c>
      <c r="U135" s="536"/>
      <c r="V135" s="536"/>
      <c r="W135" s="536"/>
      <c r="X135" s="536"/>
      <c r="Y135" s="536"/>
      <c r="Z135" s="536"/>
      <c r="AA135" s="536"/>
      <c r="AB135" s="536"/>
      <c r="AC135" s="536"/>
      <c r="AD135" s="536"/>
      <c r="AE135" s="536"/>
      <c r="AF135" s="536"/>
      <c r="AG135" s="536"/>
    </row>
    <row r="136">
      <c r="B136" s="653" t="s">
        <v>2308</v>
      </c>
      <c r="C136" s="654" t="s">
        <v>3791</v>
      </c>
      <c r="D136" s="655" t="s">
        <v>91</v>
      </c>
      <c r="E136" s="656" t="s">
        <v>1263</v>
      </c>
      <c r="F136" s="657">
        <v>14885.0</v>
      </c>
      <c r="G136" s="657">
        <v>82.0</v>
      </c>
      <c r="H136" s="658"/>
      <c r="I136" s="658"/>
      <c r="J136" s="658"/>
      <c r="K136" s="658"/>
      <c r="L136" s="658"/>
      <c r="M136" s="658"/>
      <c r="N136" s="658"/>
      <c r="O136" s="658"/>
      <c r="P136" s="658"/>
      <c r="Q136" s="658"/>
      <c r="R136" s="657"/>
      <c r="S136" s="657"/>
      <c r="T136" s="657" t="str">
        <f t="shared" si="1"/>
        <v/>
      </c>
      <c r="U136" s="658"/>
      <c r="V136" s="658"/>
      <c r="W136" s="658"/>
      <c r="X136" s="658"/>
      <c r="Y136" s="658"/>
      <c r="Z136" s="658"/>
      <c r="AA136" s="658"/>
      <c r="AB136" s="658"/>
      <c r="AC136" s="658"/>
      <c r="AD136" s="658"/>
      <c r="AE136" s="658"/>
      <c r="AF136" s="658"/>
      <c r="AG136" s="658"/>
    </row>
    <row r="137">
      <c r="B137" s="649" t="s">
        <v>2303</v>
      </c>
      <c r="C137" s="542" t="s">
        <v>3794</v>
      </c>
      <c r="D137" s="650" t="s">
        <v>3792</v>
      </c>
      <c r="E137" s="642" t="s">
        <v>1263</v>
      </c>
      <c r="F137" s="537">
        <v>67.0</v>
      </c>
      <c r="G137" s="537">
        <v>206.0</v>
      </c>
      <c r="H137" s="536"/>
      <c r="I137" s="536"/>
      <c r="J137" s="537">
        <v>1.0</v>
      </c>
      <c r="K137" s="537">
        <v>1.0</v>
      </c>
      <c r="L137" s="536"/>
      <c r="M137" s="536"/>
      <c r="N137" s="536"/>
      <c r="O137" s="536"/>
      <c r="P137" s="536"/>
      <c r="Q137" s="537">
        <v>1.0</v>
      </c>
      <c r="R137" s="537">
        <v>1.0</v>
      </c>
      <c r="S137" s="537"/>
      <c r="T137" s="537" t="str">
        <f t="shared" si="1"/>
        <v/>
      </c>
      <c r="U137" s="536"/>
      <c r="V137" s="536"/>
      <c r="W137" s="536"/>
      <c r="X137" s="536"/>
      <c r="Y137" s="536"/>
      <c r="Z137" s="536"/>
      <c r="AA137" s="536"/>
      <c r="AB137" s="536"/>
      <c r="AC137" s="536"/>
      <c r="AD137" s="536"/>
      <c r="AE137" s="536"/>
      <c r="AF137" s="536"/>
      <c r="AG137" s="536"/>
    </row>
    <row r="138">
      <c r="B138" s="649" t="s">
        <v>2298</v>
      </c>
      <c r="C138" s="542" t="s">
        <v>3796</v>
      </c>
      <c r="D138" s="650" t="s">
        <v>3795</v>
      </c>
      <c r="E138" s="642" t="s">
        <v>1263</v>
      </c>
      <c r="F138" s="537">
        <v>348.0</v>
      </c>
      <c r="G138" s="537">
        <v>314.0</v>
      </c>
      <c r="H138" s="536"/>
      <c r="I138" s="536"/>
      <c r="J138" s="536"/>
      <c r="K138" s="537">
        <v>1.0</v>
      </c>
      <c r="L138" s="536"/>
      <c r="M138" s="537">
        <v>1.0</v>
      </c>
      <c r="N138" s="536"/>
      <c r="O138" s="536"/>
      <c r="P138" s="536"/>
      <c r="Q138" s="536"/>
      <c r="R138" s="537"/>
      <c r="S138" s="537">
        <v>1.0</v>
      </c>
      <c r="T138" s="537" t="str">
        <f t="shared" si="1"/>
        <v/>
      </c>
      <c r="U138" s="536"/>
      <c r="V138" s="536"/>
      <c r="W138" s="536"/>
      <c r="X138" s="536"/>
      <c r="Y138" s="536"/>
      <c r="Z138" s="536"/>
      <c r="AA138" s="536"/>
      <c r="AB138" s="536"/>
      <c r="AC138" s="536"/>
      <c r="AD138" s="536"/>
      <c r="AE138" s="536"/>
      <c r="AF138" s="536"/>
      <c r="AG138" s="536"/>
    </row>
    <row r="139">
      <c r="B139" s="649" t="s">
        <v>2293</v>
      </c>
      <c r="C139" s="542" t="s">
        <v>3799</v>
      </c>
      <c r="D139" s="650" t="s">
        <v>3797</v>
      </c>
      <c r="E139" s="642" t="s">
        <v>1263</v>
      </c>
      <c r="F139" s="537">
        <v>185.0</v>
      </c>
      <c r="G139" s="537">
        <v>87.0</v>
      </c>
      <c r="H139" s="537">
        <v>1.0</v>
      </c>
      <c r="I139" s="536"/>
      <c r="J139" s="537">
        <v>1.0</v>
      </c>
      <c r="K139" s="536"/>
      <c r="L139" s="536"/>
      <c r="M139" s="536"/>
      <c r="N139" s="536"/>
      <c r="O139" s="536"/>
      <c r="P139" s="536"/>
      <c r="Q139" s="537">
        <v>1.0</v>
      </c>
      <c r="R139" s="537"/>
      <c r="S139" s="537"/>
      <c r="T139" s="537" t="str">
        <f t="shared" si="1"/>
        <v/>
      </c>
      <c r="U139" s="536"/>
      <c r="V139" s="536"/>
      <c r="W139" s="536"/>
      <c r="X139" s="536"/>
      <c r="Y139" s="536"/>
      <c r="Z139" s="536"/>
      <c r="AA139" s="536"/>
      <c r="AB139" s="536"/>
      <c r="AC139" s="536"/>
      <c r="AD139" s="536"/>
      <c r="AE139" s="536"/>
      <c r="AF139" s="536"/>
      <c r="AG139" s="536"/>
    </row>
    <row r="140">
      <c r="B140" s="649" t="s">
        <v>2288</v>
      </c>
      <c r="C140" s="542" t="s">
        <v>3800</v>
      </c>
      <c r="D140" s="650" t="s">
        <v>232</v>
      </c>
      <c r="E140" s="642" t="s">
        <v>1263</v>
      </c>
      <c r="F140" s="537">
        <v>16.0</v>
      </c>
      <c r="G140" s="537">
        <v>14.0</v>
      </c>
      <c r="H140" s="536"/>
      <c r="I140" s="536"/>
      <c r="J140" s="536"/>
      <c r="K140" s="536"/>
      <c r="L140" s="536"/>
      <c r="M140" s="536"/>
      <c r="N140" s="536"/>
      <c r="O140" s="536"/>
      <c r="P140" s="536"/>
      <c r="Q140" s="536"/>
      <c r="R140" s="537">
        <v>1.0</v>
      </c>
      <c r="S140" s="537">
        <v>1.0</v>
      </c>
      <c r="T140" s="537" t="str">
        <f t="shared" si="1"/>
        <v/>
      </c>
      <c r="U140" s="536"/>
      <c r="V140" s="536"/>
      <c r="W140" s="536"/>
      <c r="X140" s="536"/>
      <c r="Y140" s="536"/>
      <c r="Z140" s="536"/>
      <c r="AA140" s="536"/>
      <c r="AB140" s="536"/>
      <c r="AC140" s="536"/>
      <c r="AD140" s="536"/>
      <c r="AE140" s="536"/>
      <c r="AF140" s="536"/>
      <c r="AG140" s="536"/>
    </row>
    <row r="141">
      <c r="B141" s="649" t="s">
        <v>2283</v>
      </c>
      <c r="C141" s="542" t="s">
        <v>3803</v>
      </c>
      <c r="D141" s="650" t="s">
        <v>3801</v>
      </c>
      <c r="E141" s="642" t="s">
        <v>3728</v>
      </c>
      <c r="F141" s="537">
        <v>173.0</v>
      </c>
      <c r="G141" s="537">
        <v>11.0</v>
      </c>
      <c r="H141" s="536"/>
      <c r="I141" s="536"/>
      <c r="J141" s="536"/>
      <c r="K141" s="536"/>
      <c r="L141" s="536"/>
      <c r="M141" s="536"/>
      <c r="N141" s="536"/>
      <c r="O141" s="536"/>
      <c r="P141" s="536"/>
      <c r="Q141" s="536"/>
      <c r="R141" s="537"/>
      <c r="S141" s="537"/>
      <c r="T141" s="537" t="str">
        <f t="shared" si="1"/>
        <v/>
      </c>
      <c r="U141" s="536"/>
      <c r="V141" s="536"/>
      <c r="W141" s="536"/>
      <c r="X141" s="536"/>
      <c r="Y141" s="536"/>
      <c r="Z141" s="536"/>
      <c r="AA141" s="536"/>
      <c r="AB141" s="536"/>
      <c r="AC141" s="536"/>
      <c r="AD141" s="536"/>
      <c r="AE141" s="536"/>
      <c r="AF141" s="536"/>
      <c r="AG141" s="536"/>
    </row>
    <row r="142">
      <c r="B142" s="649" t="s">
        <v>2278</v>
      </c>
      <c r="C142" s="542" t="s">
        <v>3804</v>
      </c>
      <c r="D142" s="650" t="s">
        <v>450</v>
      </c>
      <c r="E142" s="642" t="s">
        <v>3728</v>
      </c>
      <c r="F142" s="537">
        <v>239.0</v>
      </c>
      <c r="G142" s="537">
        <v>185.0</v>
      </c>
      <c r="H142" s="536"/>
      <c r="I142" s="536"/>
      <c r="J142" s="536"/>
      <c r="K142" s="536"/>
      <c r="L142" s="536"/>
      <c r="M142" s="536"/>
      <c r="N142" s="536"/>
      <c r="O142" s="536"/>
      <c r="P142" s="536"/>
      <c r="Q142" s="536"/>
      <c r="R142" s="537"/>
      <c r="S142" s="537"/>
      <c r="T142" s="537" t="str">
        <f t="shared" si="1"/>
        <v/>
      </c>
      <c r="U142" s="536"/>
      <c r="V142" s="536"/>
      <c r="W142" s="536"/>
      <c r="X142" s="536"/>
      <c r="Y142" s="536"/>
      <c r="Z142" s="536"/>
      <c r="AA142" s="536"/>
      <c r="AB142" s="536"/>
      <c r="AC142" s="536"/>
      <c r="AD142" s="536"/>
      <c r="AE142" s="536"/>
      <c r="AF142" s="536"/>
      <c r="AG142" s="536"/>
    </row>
    <row r="143">
      <c r="B143" s="649" t="s">
        <v>2271</v>
      </c>
      <c r="C143" s="542" t="s">
        <v>3807</v>
      </c>
      <c r="D143" s="650" t="s">
        <v>3805</v>
      </c>
      <c r="E143" s="642" t="s">
        <v>1263</v>
      </c>
      <c r="F143" s="537">
        <v>60.0</v>
      </c>
      <c r="G143" s="537">
        <v>5.0</v>
      </c>
      <c r="H143" s="537">
        <v>1.0</v>
      </c>
      <c r="I143" s="536"/>
      <c r="J143" s="537">
        <v>1.0</v>
      </c>
      <c r="K143" s="536"/>
      <c r="L143" s="536"/>
      <c r="M143" s="536"/>
      <c r="N143" s="537"/>
      <c r="O143" s="537">
        <v>1.0</v>
      </c>
      <c r="P143" s="536"/>
      <c r="Q143" s="537">
        <v>1.0</v>
      </c>
      <c r="R143" s="537"/>
      <c r="S143" s="537"/>
      <c r="T143" s="537" t="str">
        <f t="shared" si="1"/>
        <v/>
      </c>
      <c r="U143" s="536"/>
      <c r="V143" s="536"/>
      <c r="W143" s="536"/>
      <c r="X143" s="536"/>
      <c r="Y143" s="536"/>
      <c r="Z143" s="536"/>
      <c r="AA143" s="536"/>
      <c r="AB143" s="536"/>
      <c r="AC143" s="536"/>
      <c r="AD143" s="536"/>
      <c r="AE143" s="536"/>
      <c r="AF143" s="536"/>
      <c r="AG143" s="536"/>
    </row>
    <row r="144">
      <c r="B144" s="649" t="s">
        <v>2266</v>
      </c>
      <c r="C144" s="542" t="s">
        <v>3808</v>
      </c>
      <c r="D144" s="650" t="s">
        <v>3732</v>
      </c>
      <c r="E144" s="647"/>
      <c r="F144" s="537">
        <v>1759.0</v>
      </c>
      <c r="G144" s="537">
        <v>224.0</v>
      </c>
      <c r="H144" s="537">
        <v>1.0</v>
      </c>
      <c r="I144" s="536"/>
      <c r="J144" s="537">
        <v>1.0</v>
      </c>
      <c r="K144" s="537">
        <v>1.0</v>
      </c>
      <c r="L144" s="536"/>
      <c r="M144" s="537">
        <v>1.0</v>
      </c>
      <c r="N144" s="537">
        <v>1.0</v>
      </c>
      <c r="O144" s="536"/>
      <c r="P144" s="536"/>
      <c r="Q144" s="537">
        <v>1.0</v>
      </c>
      <c r="R144" s="537"/>
      <c r="S144" s="537">
        <v>1.0</v>
      </c>
      <c r="T144" s="537" t="str">
        <f t="shared" si="1"/>
        <v/>
      </c>
      <c r="U144" s="536"/>
      <c r="V144" s="536"/>
      <c r="W144" s="536"/>
      <c r="X144" s="536"/>
      <c r="Y144" s="536"/>
      <c r="Z144" s="536"/>
      <c r="AA144" s="536"/>
      <c r="AB144" s="536"/>
      <c r="AC144" s="536"/>
      <c r="AD144" s="536"/>
      <c r="AE144" s="536"/>
      <c r="AF144" s="536"/>
      <c r="AG144" s="536"/>
    </row>
    <row r="145" ht="19.5" customHeight="1">
      <c r="B145" s="649" t="s">
        <v>2261</v>
      </c>
      <c r="C145" s="542" t="s">
        <v>3810</v>
      </c>
      <c r="D145" s="650" t="s">
        <v>3809</v>
      </c>
      <c r="E145" s="642" t="s">
        <v>3728</v>
      </c>
      <c r="F145" s="537">
        <v>84.0</v>
      </c>
      <c r="G145" s="537">
        <v>12.0</v>
      </c>
      <c r="H145" s="536"/>
      <c r="I145" s="536"/>
      <c r="J145" s="536"/>
      <c r="K145" s="536"/>
      <c r="L145" s="536"/>
      <c r="M145" s="536"/>
      <c r="N145" s="536"/>
      <c r="O145" s="536"/>
      <c r="P145" s="536"/>
      <c r="Q145" s="536"/>
      <c r="R145" s="537"/>
      <c r="S145" s="537"/>
      <c r="T145" s="537" t="str">
        <f t="shared" si="1"/>
        <v/>
      </c>
      <c r="U145" s="536"/>
      <c r="V145" s="536"/>
      <c r="W145" s="536"/>
      <c r="X145" s="536"/>
      <c r="Y145" s="536"/>
      <c r="Z145" s="536"/>
      <c r="AA145" s="536"/>
      <c r="AB145" s="536"/>
      <c r="AC145" s="536"/>
      <c r="AD145" s="536"/>
      <c r="AE145" s="536"/>
      <c r="AF145" s="536"/>
      <c r="AG145" s="536"/>
    </row>
    <row r="146">
      <c r="B146" s="649" t="s">
        <v>2256</v>
      </c>
      <c r="C146" s="542" t="s">
        <v>3813</v>
      </c>
      <c r="D146" s="650" t="s">
        <v>3811</v>
      </c>
      <c r="E146" s="642" t="s">
        <v>3728</v>
      </c>
      <c r="F146" s="537">
        <v>178.0</v>
      </c>
      <c r="G146" s="537">
        <v>36.0</v>
      </c>
      <c r="H146" s="536"/>
      <c r="I146" s="536"/>
      <c r="J146" s="536"/>
      <c r="K146" s="536"/>
      <c r="L146" s="536"/>
      <c r="M146" s="536"/>
      <c r="N146" s="536"/>
      <c r="O146" s="536"/>
      <c r="P146" s="536"/>
      <c r="Q146" s="536"/>
      <c r="R146" s="537"/>
      <c r="S146" s="537"/>
      <c r="T146" s="537" t="str">
        <f t="shared" si="1"/>
        <v/>
      </c>
      <c r="U146" s="536"/>
      <c r="V146" s="536"/>
      <c r="W146" s="536"/>
      <c r="X146" s="536"/>
      <c r="Y146" s="536"/>
      <c r="Z146" s="536"/>
      <c r="AA146" s="536"/>
      <c r="AB146" s="536"/>
      <c r="AC146" s="536"/>
      <c r="AD146" s="536"/>
      <c r="AE146" s="536"/>
      <c r="AF146" s="536"/>
      <c r="AG146" s="536"/>
    </row>
    <row r="147">
      <c r="B147" s="649" t="s">
        <v>2251</v>
      </c>
      <c r="C147" s="542" t="s">
        <v>3816</v>
      </c>
      <c r="D147" s="650" t="s">
        <v>3814</v>
      </c>
      <c r="E147" s="647"/>
      <c r="F147" s="537">
        <v>66.0</v>
      </c>
      <c r="G147" s="537">
        <v>10.0</v>
      </c>
      <c r="H147" s="537">
        <v>1.0</v>
      </c>
      <c r="I147" s="536"/>
      <c r="J147" s="537">
        <v>1.0</v>
      </c>
      <c r="K147" s="536"/>
      <c r="L147" s="536"/>
      <c r="M147" s="536"/>
      <c r="N147" s="537">
        <v>1.0</v>
      </c>
      <c r="O147" s="536"/>
      <c r="P147" s="536"/>
      <c r="Q147" s="537">
        <v>1.0</v>
      </c>
      <c r="R147" s="537">
        <v>1.0</v>
      </c>
      <c r="S147" s="537"/>
      <c r="T147" s="537" t="str">
        <f t="shared" si="1"/>
        <v/>
      </c>
      <c r="U147" s="536"/>
      <c r="V147" s="536"/>
      <c r="W147" s="536"/>
      <c r="X147" s="536"/>
      <c r="Y147" s="536"/>
      <c r="Z147" s="536"/>
      <c r="AA147" s="536"/>
      <c r="AB147" s="536"/>
      <c r="AC147" s="536"/>
      <c r="AD147" s="536"/>
      <c r="AE147" s="536"/>
      <c r="AF147" s="536"/>
      <c r="AG147" s="536"/>
    </row>
    <row r="148">
      <c r="B148" s="649" t="s">
        <v>2246</v>
      </c>
      <c r="C148" s="542" t="s">
        <v>3819</v>
      </c>
      <c r="D148" s="650" t="s">
        <v>3817</v>
      </c>
      <c r="E148" s="647"/>
      <c r="F148" s="537">
        <v>273.0</v>
      </c>
      <c r="G148" s="537">
        <v>131.0</v>
      </c>
      <c r="H148" s="537">
        <v>1.0</v>
      </c>
      <c r="I148" s="536"/>
      <c r="J148" s="537">
        <v>1.0</v>
      </c>
      <c r="K148" s="537">
        <v>1.0</v>
      </c>
      <c r="L148" s="536"/>
      <c r="M148" s="536"/>
      <c r="N148" s="537"/>
      <c r="O148" s="537">
        <v>1.0</v>
      </c>
      <c r="P148" s="536"/>
      <c r="Q148" s="537">
        <v>1.0</v>
      </c>
      <c r="R148" s="537"/>
      <c r="S148" s="537"/>
      <c r="T148" s="537" t="str">
        <f t="shared" si="1"/>
        <v/>
      </c>
      <c r="U148" s="537">
        <v>1.0</v>
      </c>
      <c r="V148" s="537"/>
      <c r="W148" s="536"/>
      <c r="X148" s="536"/>
      <c r="Y148" s="536"/>
      <c r="Z148" s="536"/>
      <c r="AA148" s="536"/>
      <c r="AB148" s="536"/>
      <c r="AC148" s="536"/>
      <c r="AD148" s="536"/>
      <c r="AE148" s="536"/>
      <c r="AF148" s="536"/>
      <c r="AG148" s="536"/>
    </row>
    <row r="149">
      <c r="B149" s="649" t="s">
        <v>2241</v>
      </c>
      <c r="C149" s="542" t="s">
        <v>3822</v>
      </c>
      <c r="D149" s="650" t="s">
        <v>3820</v>
      </c>
      <c r="E149" s="642" t="s">
        <v>3728</v>
      </c>
      <c r="F149" s="537">
        <v>101.0</v>
      </c>
      <c r="G149" s="537">
        <v>6.0</v>
      </c>
      <c r="H149" s="536"/>
      <c r="I149" s="536"/>
      <c r="J149" s="536"/>
      <c r="K149" s="536"/>
      <c r="L149" s="536"/>
      <c r="M149" s="536"/>
      <c r="N149" s="536"/>
      <c r="O149" s="536"/>
      <c r="P149" s="536"/>
      <c r="Q149" s="536"/>
      <c r="R149" s="537"/>
      <c r="S149" s="537"/>
      <c r="T149" s="537" t="str">
        <f t="shared" si="1"/>
        <v/>
      </c>
      <c r="U149" s="536"/>
      <c r="V149" s="536"/>
      <c r="W149" s="536"/>
      <c r="X149" s="536"/>
      <c r="Y149" s="536"/>
      <c r="Z149" s="536"/>
      <c r="AA149" s="536"/>
      <c r="AB149" s="536"/>
      <c r="AC149" s="536"/>
      <c r="AD149" s="536"/>
      <c r="AE149" s="536"/>
      <c r="AF149" s="536"/>
      <c r="AG149" s="536"/>
    </row>
    <row r="150">
      <c r="B150" s="649" t="s">
        <v>2236</v>
      </c>
      <c r="C150" s="542" t="s">
        <v>3823</v>
      </c>
      <c r="D150" s="650" t="s">
        <v>875</v>
      </c>
      <c r="E150" s="647"/>
      <c r="F150" s="537">
        <v>90.0</v>
      </c>
      <c r="G150" s="537">
        <v>3.0</v>
      </c>
      <c r="H150" s="536"/>
      <c r="I150" s="536"/>
      <c r="J150" s="537">
        <v>1.0</v>
      </c>
      <c r="K150" s="536"/>
      <c r="L150" s="536"/>
      <c r="M150" s="536"/>
      <c r="N150" s="537"/>
      <c r="O150" s="537">
        <v>1.0</v>
      </c>
      <c r="P150" s="536"/>
      <c r="Q150" s="537">
        <v>1.0</v>
      </c>
      <c r="R150" s="537"/>
      <c r="S150" s="537"/>
      <c r="T150" s="537" t="str">
        <f t="shared" si="1"/>
        <v/>
      </c>
      <c r="U150" s="537">
        <v>1.0</v>
      </c>
      <c r="V150" s="537"/>
      <c r="W150" s="536"/>
      <c r="X150" s="536"/>
      <c r="Y150" s="536"/>
      <c r="Z150" s="536"/>
      <c r="AA150" s="536"/>
      <c r="AB150" s="536"/>
      <c r="AC150" s="536"/>
      <c r="AD150" s="536"/>
      <c r="AE150" s="536"/>
      <c r="AF150" s="536"/>
      <c r="AG150" s="536"/>
    </row>
    <row r="151">
      <c r="B151" s="649" t="s">
        <v>2231</v>
      </c>
      <c r="C151" s="542" t="s">
        <v>3824</v>
      </c>
      <c r="D151" s="650" t="s">
        <v>1948</v>
      </c>
      <c r="E151" s="647"/>
      <c r="F151" s="537">
        <v>264.0</v>
      </c>
      <c r="G151" s="537">
        <v>21.0</v>
      </c>
      <c r="H151" s="537">
        <v>1.0</v>
      </c>
      <c r="I151" s="537">
        <v>1.0</v>
      </c>
      <c r="J151" s="537">
        <v>1.0</v>
      </c>
      <c r="K151" s="536"/>
      <c r="L151" s="537">
        <v>1.0</v>
      </c>
      <c r="M151" s="537">
        <v>1.0</v>
      </c>
      <c r="N151" s="537">
        <v>1.0</v>
      </c>
      <c r="O151" s="537">
        <v>1.0</v>
      </c>
      <c r="P151" s="536"/>
      <c r="Q151" s="537">
        <v>1.0</v>
      </c>
      <c r="R151" s="537"/>
      <c r="S151" s="537"/>
      <c r="T151" s="537" t="str">
        <f t="shared" si="1"/>
        <v/>
      </c>
      <c r="U151" s="536"/>
      <c r="V151" s="536"/>
      <c r="W151" s="536"/>
      <c r="X151" s="536"/>
      <c r="Y151" s="536"/>
      <c r="Z151" s="536"/>
      <c r="AA151" s="536"/>
      <c r="AB151" s="536"/>
      <c r="AC151" s="536"/>
      <c r="AD151" s="536"/>
      <c r="AE151" s="536"/>
      <c r="AF151" s="536"/>
      <c r="AG151" s="536"/>
    </row>
    <row r="152">
      <c r="B152" s="649" t="s">
        <v>2226</v>
      </c>
      <c r="C152" s="542" t="s">
        <v>3827</v>
      </c>
      <c r="D152" s="650" t="s">
        <v>3825</v>
      </c>
      <c r="E152" s="647"/>
      <c r="F152" s="537">
        <v>46.0</v>
      </c>
      <c r="G152" s="537">
        <v>12.0</v>
      </c>
      <c r="H152" s="537">
        <v>1.0</v>
      </c>
      <c r="I152" s="536"/>
      <c r="J152" s="537">
        <v>1.0</v>
      </c>
      <c r="K152" s="536"/>
      <c r="L152" s="536"/>
      <c r="M152" s="536"/>
      <c r="N152" s="536"/>
      <c r="O152" s="536"/>
      <c r="P152" s="536"/>
      <c r="Q152" s="537">
        <v>1.0</v>
      </c>
      <c r="R152" s="537">
        <v>1.0</v>
      </c>
      <c r="S152" s="537"/>
      <c r="T152" s="537" t="str">
        <f t="shared" si="1"/>
        <v/>
      </c>
      <c r="U152" s="537">
        <v>1.0</v>
      </c>
      <c r="V152" s="537"/>
      <c r="W152" s="536"/>
      <c r="X152" s="536"/>
      <c r="Y152" s="536"/>
      <c r="Z152" s="536"/>
      <c r="AA152" s="536"/>
      <c r="AB152" s="536"/>
      <c r="AC152" s="536"/>
      <c r="AD152" s="536"/>
      <c r="AE152" s="536"/>
      <c r="AF152" s="536"/>
      <c r="AG152" s="536"/>
    </row>
    <row r="153">
      <c r="B153" s="649" t="s">
        <v>2221</v>
      </c>
      <c r="C153" s="542" t="s">
        <v>3830</v>
      </c>
      <c r="D153" s="650" t="s">
        <v>3828</v>
      </c>
      <c r="E153" s="642" t="s">
        <v>3728</v>
      </c>
      <c r="F153" s="537">
        <v>95.0</v>
      </c>
      <c r="G153" s="537">
        <v>43.0</v>
      </c>
      <c r="H153" s="536"/>
      <c r="I153" s="536"/>
      <c r="J153" s="536"/>
      <c r="K153" s="536"/>
      <c r="L153" s="536"/>
      <c r="M153" s="536"/>
      <c r="N153" s="536"/>
      <c r="O153" s="536"/>
      <c r="P153" s="536"/>
      <c r="Q153" s="536"/>
      <c r="R153" s="537"/>
      <c r="S153" s="537"/>
      <c r="T153" s="537" t="str">
        <f t="shared" si="1"/>
        <v/>
      </c>
      <c r="U153" s="536"/>
      <c r="V153" s="536"/>
      <c r="W153" s="536"/>
      <c r="X153" s="536"/>
      <c r="Y153" s="536"/>
      <c r="Z153" s="536"/>
      <c r="AA153" s="536"/>
      <c r="AB153" s="536"/>
      <c r="AC153" s="536"/>
      <c r="AD153" s="536"/>
      <c r="AE153" s="536"/>
      <c r="AF153" s="536"/>
      <c r="AG153" s="536"/>
    </row>
    <row r="154">
      <c r="B154" s="649" t="s">
        <v>2216</v>
      </c>
      <c r="C154" s="542" t="s">
        <v>3832</v>
      </c>
      <c r="D154" s="650" t="s">
        <v>3831</v>
      </c>
      <c r="E154" s="642" t="s">
        <v>3728</v>
      </c>
      <c r="F154" s="537">
        <v>606029.0</v>
      </c>
      <c r="G154" s="537">
        <v>114.0</v>
      </c>
      <c r="H154" s="536"/>
      <c r="I154" s="536"/>
      <c r="J154" s="536"/>
      <c r="K154" s="536"/>
      <c r="L154" s="536"/>
      <c r="M154" s="536"/>
      <c r="N154" s="536"/>
      <c r="O154" s="536"/>
      <c r="P154" s="536"/>
      <c r="Q154" s="536"/>
      <c r="R154" s="537"/>
      <c r="S154" s="537"/>
      <c r="T154" s="537" t="str">
        <f t="shared" si="1"/>
        <v/>
      </c>
      <c r="U154" s="536"/>
      <c r="V154" s="536"/>
      <c r="W154" s="536"/>
      <c r="X154" s="536"/>
      <c r="Y154" s="536"/>
      <c r="Z154" s="536"/>
      <c r="AA154" s="536"/>
      <c r="AB154" s="536"/>
      <c r="AC154" s="536"/>
      <c r="AD154" s="536"/>
      <c r="AE154" s="536"/>
      <c r="AF154" s="536"/>
      <c r="AG154" s="536"/>
    </row>
    <row r="155">
      <c r="B155" s="649" t="s">
        <v>2211</v>
      </c>
      <c r="C155" s="542" t="s">
        <v>3833</v>
      </c>
      <c r="D155" s="650" t="s">
        <v>3735</v>
      </c>
      <c r="E155" s="647"/>
      <c r="F155" s="537">
        <v>564.0</v>
      </c>
      <c r="G155" s="537">
        <v>326.0</v>
      </c>
      <c r="H155" s="536"/>
      <c r="I155" s="536"/>
      <c r="J155" s="537">
        <v>1.0</v>
      </c>
      <c r="K155" s="537">
        <v>1.0</v>
      </c>
      <c r="L155" s="536"/>
      <c r="M155" s="536"/>
      <c r="N155" s="537">
        <v>1.0</v>
      </c>
      <c r="O155" s="536"/>
      <c r="P155" s="536"/>
      <c r="Q155" s="537"/>
      <c r="R155" s="537"/>
      <c r="S155" s="537">
        <v>1.0</v>
      </c>
      <c r="T155" s="537" t="str">
        <f t="shared" si="1"/>
        <v/>
      </c>
      <c r="U155" s="536"/>
      <c r="V155" s="536"/>
      <c r="W155" s="536"/>
      <c r="X155" s="536"/>
      <c r="Y155" s="536"/>
      <c r="Z155" s="536"/>
      <c r="AA155" s="536"/>
      <c r="AB155" s="536"/>
      <c r="AC155" s="536"/>
      <c r="AD155" s="536"/>
      <c r="AE155" s="536"/>
      <c r="AF155" s="536"/>
      <c r="AG155" s="536"/>
    </row>
    <row r="156">
      <c r="B156" s="649" t="s">
        <v>2206</v>
      </c>
      <c r="C156" s="542" t="s">
        <v>3835</v>
      </c>
      <c r="D156" s="650" t="s">
        <v>3834</v>
      </c>
      <c r="E156" s="647"/>
      <c r="F156" s="537">
        <v>104.0</v>
      </c>
      <c r="G156" s="537">
        <v>32.0</v>
      </c>
      <c r="H156" s="537">
        <v>1.0</v>
      </c>
      <c r="I156" s="537">
        <v>1.0</v>
      </c>
      <c r="J156" s="537">
        <v>1.0</v>
      </c>
      <c r="K156" s="536"/>
      <c r="L156" s="536"/>
      <c r="M156" s="536"/>
      <c r="N156" s="537">
        <v>1.0</v>
      </c>
      <c r="O156" s="536"/>
      <c r="P156" s="536"/>
      <c r="Q156" s="537">
        <v>1.0</v>
      </c>
      <c r="R156" s="537">
        <v>1.0</v>
      </c>
      <c r="S156" s="537"/>
      <c r="T156" s="537" t="str">
        <f t="shared" si="1"/>
        <v/>
      </c>
      <c r="U156" s="536"/>
      <c r="V156" s="536"/>
      <c r="W156" s="536"/>
      <c r="X156" s="536"/>
      <c r="Y156" s="536"/>
      <c r="Z156" s="536"/>
      <c r="AA156" s="536"/>
      <c r="AB156" s="536"/>
      <c r="AC156" s="536"/>
      <c r="AD156" s="536"/>
      <c r="AE156" s="536"/>
      <c r="AF156" s="536"/>
      <c r="AG156" s="536"/>
    </row>
    <row r="157">
      <c r="B157" s="649" t="s">
        <v>2201</v>
      </c>
      <c r="C157" s="542" t="s">
        <v>3836</v>
      </c>
      <c r="D157" s="650" t="s">
        <v>3737</v>
      </c>
      <c r="E157" s="647"/>
      <c r="F157" s="537">
        <v>14.0</v>
      </c>
      <c r="G157" s="537">
        <v>1.0</v>
      </c>
      <c r="H157" s="536"/>
      <c r="I157" s="536"/>
      <c r="J157" s="537">
        <v>1.0</v>
      </c>
      <c r="K157" s="537">
        <v>1.0</v>
      </c>
      <c r="L157" s="536"/>
      <c r="M157" s="536"/>
      <c r="N157" s="537">
        <v>1.0</v>
      </c>
      <c r="O157" s="536"/>
      <c r="P157" s="536"/>
      <c r="Q157" s="536"/>
      <c r="R157" s="537">
        <v>1.0</v>
      </c>
      <c r="S157" s="537"/>
      <c r="T157" s="537" t="str">
        <f t="shared" si="1"/>
        <v/>
      </c>
      <c r="U157" s="536"/>
      <c r="V157" s="536"/>
      <c r="W157" s="536"/>
      <c r="X157" s="536"/>
      <c r="Y157" s="536"/>
      <c r="Z157" s="536"/>
      <c r="AA157" s="536"/>
      <c r="AB157" s="536"/>
      <c r="AC157" s="536"/>
      <c r="AD157" s="536"/>
      <c r="AE157" s="536"/>
      <c r="AF157" s="536"/>
      <c r="AG157" s="536"/>
    </row>
    <row r="158">
      <c r="B158" s="649" t="s">
        <v>2196</v>
      </c>
      <c r="C158" s="542" t="s">
        <v>3837</v>
      </c>
      <c r="D158" s="650" t="s">
        <v>3739</v>
      </c>
      <c r="E158" s="647"/>
      <c r="F158" s="537">
        <v>279.0</v>
      </c>
      <c r="G158" s="537">
        <v>96.0</v>
      </c>
      <c r="H158" s="536"/>
      <c r="I158" s="536"/>
      <c r="J158" s="537">
        <v>1.0</v>
      </c>
      <c r="K158" s="536"/>
      <c r="L158" s="536"/>
      <c r="M158" s="536"/>
      <c r="N158" s="537">
        <v>1.0</v>
      </c>
      <c r="O158" s="536"/>
      <c r="P158" s="536"/>
      <c r="Q158" s="537">
        <v>1.0</v>
      </c>
      <c r="R158" s="537"/>
      <c r="S158" s="537"/>
      <c r="T158" s="537" t="str">
        <f t="shared" si="1"/>
        <v/>
      </c>
      <c r="U158" s="536"/>
      <c r="V158" s="536"/>
      <c r="W158" s="536"/>
      <c r="X158" s="536"/>
      <c r="Y158" s="536"/>
      <c r="Z158" s="536"/>
      <c r="AA158" s="536"/>
      <c r="AB158" s="536"/>
      <c r="AC158" s="536"/>
      <c r="AD158" s="536"/>
      <c r="AE158" s="536"/>
      <c r="AF158" s="536"/>
      <c r="AG158" s="536"/>
    </row>
    <row r="159">
      <c r="B159" s="649" t="s">
        <v>2191</v>
      </c>
      <c r="C159" s="542" t="s">
        <v>3840</v>
      </c>
      <c r="D159" s="650" t="s">
        <v>3838</v>
      </c>
      <c r="E159" s="642" t="s">
        <v>1263</v>
      </c>
      <c r="F159" s="537">
        <v>331.0</v>
      </c>
      <c r="G159" s="537">
        <v>51.0</v>
      </c>
      <c r="H159" s="536"/>
      <c r="I159" s="536"/>
      <c r="J159" s="537">
        <v>1.0</v>
      </c>
      <c r="K159" s="537">
        <v>1.0</v>
      </c>
      <c r="L159" s="536"/>
      <c r="M159" s="536"/>
      <c r="N159" s="536"/>
      <c r="O159" s="536"/>
      <c r="P159" s="536"/>
      <c r="Q159" s="536"/>
      <c r="R159" s="537"/>
      <c r="S159" s="537"/>
      <c r="T159" s="537" t="str">
        <f t="shared" si="1"/>
        <v/>
      </c>
      <c r="U159" s="536"/>
      <c r="V159" s="536"/>
      <c r="W159" s="536"/>
      <c r="X159" s="536"/>
      <c r="Y159" s="536"/>
      <c r="Z159" s="536"/>
      <c r="AA159" s="536"/>
      <c r="AB159" s="536"/>
      <c r="AC159" s="536"/>
      <c r="AD159" s="536"/>
      <c r="AE159" s="536"/>
      <c r="AF159" s="536"/>
      <c r="AG159" s="536"/>
    </row>
    <row r="160">
      <c r="B160" s="649" t="s">
        <v>2186</v>
      </c>
      <c r="C160" s="542" t="s">
        <v>3840</v>
      </c>
      <c r="D160" s="650" t="s">
        <v>3841</v>
      </c>
      <c r="E160" s="642" t="s">
        <v>3728</v>
      </c>
      <c r="F160" s="537">
        <v>331.0</v>
      </c>
      <c r="G160" s="537">
        <v>51.0</v>
      </c>
      <c r="H160" s="536"/>
      <c r="I160" s="536"/>
      <c r="J160" s="536"/>
      <c r="K160" s="536"/>
      <c r="L160" s="536"/>
      <c r="M160" s="536"/>
      <c r="N160" s="536"/>
      <c r="O160" s="536"/>
      <c r="P160" s="536"/>
      <c r="Q160" s="536"/>
      <c r="R160" s="537"/>
      <c r="S160" s="537"/>
      <c r="T160" s="537" t="str">
        <f t="shared" si="1"/>
        <v/>
      </c>
      <c r="U160" s="536"/>
      <c r="V160" s="536"/>
      <c r="W160" s="536"/>
      <c r="X160" s="536"/>
      <c r="Y160" s="536"/>
      <c r="Z160" s="536"/>
      <c r="AA160" s="536"/>
      <c r="AB160" s="536"/>
      <c r="AC160" s="536"/>
      <c r="AD160" s="536"/>
      <c r="AE160" s="536"/>
      <c r="AF160" s="536"/>
      <c r="AG160" s="536"/>
    </row>
    <row r="161">
      <c r="B161" s="649" t="s">
        <v>2181</v>
      </c>
      <c r="C161" s="542" t="s">
        <v>3845</v>
      </c>
      <c r="D161" s="650" t="s">
        <v>3843</v>
      </c>
      <c r="E161" s="647"/>
      <c r="F161" s="537">
        <v>1045.0</v>
      </c>
      <c r="G161" s="537">
        <v>0.0</v>
      </c>
      <c r="H161" s="536"/>
      <c r="I161" s="536"/>
      <c r="J161" s="537">
        <v>1.0</v>
      </c>
      <c r="K161" s="537">
        <v>1.0</v>
      </c>
      <c r="L161" s="536"/>
      <c r="M161" s="537">
        <v>1.0</v>
      </c>
      <c r="N161" s="536"/>
      <c r="O161" s="536"/>
      <c r="P161" s="536"/>
      <c r="Q161" s="536"/>
      <c r="R161" s="537"/>
      <c r="S161" s="537"/>
      <c r="T161" s="537" t="str">
        <f t="shared" si="1"/>
        <v/>
      </c>
      <c r="U161" s="536"/>
      <c r="V161" s="536"/>
      <c r="W161" s="536"/>
      <c r="X161" s="536"/>
      <c r="Y161" s="536"/>
      <c r="Z161" s="536"/>
      <c r="AA161" s="536"/>
      <c r="AB161" s="536"/>
      <c r="AC161" s="536"/>
      <c r="AD161" s="536"/>
      <c r="AE161" s="536"/>
      <c r="AF161" s="536"/>
      <c r="AG161" s="536"/>
    </row>
    <row r="162">
      <c r="B162" s="649" t="s">
        <v>2176</v>
      </c>
      <c r="C162" s="542" t="s">
        <v>3846</v>
      </c>
      <c r="D162" s="650" t="s">
        <v>3741</v>
      </c>
      <c r="E162" s="647"/>
      <c r="F162" s="537">
        <v>397956.0</v>
      </c>
      <c r="G162" s="537">
        <v>41.0</v>
      </c>
      <c r="H162" s="536"/>
      <c r="I162" s="536"/>
      <c r="J162" s="536"/>
      <c r="K162" s="536"/>
      <c r="L162" s="536"/>
      <c r="M162" s="536"/>
      <c r="N162" s="537">
        <v>1.0</v>
      </c>
      <c r="O162" s="536"/>
      <c r="P162" s="536"/>
      <c r="Q162" s="537">
        <v>1.0</v>
      </c>
      <c r="R162" s="537"/>
      <c r="S162" s="537">
        <v>1.0</v>
      </c>
      <c r="T162" s="537" t="str">
        <f t="shared" si="1"/>
        <v/>
      </c>
      <c r="U162" s="536"/>
      <c r="V162" s="536"/>
      <c r="W162" s="536"/>
      <c r="X162" s="536"/>
      <c r="Y162" s="536"/>
      <c r="Z162" s="536"/>
      <c r="AA162" s="536"/>
      <c r="AB162" s="536"/>
      <c r="AC162" s="536"/>
      <c r="AD162" s="536"/>
      <c r="AE162" s="536"/>
      <c r="AF162" s="536"/>
      <c r="AG162" s="536"/>
    </row>
    <row r="163">
      <c r="B163" s="649" t="s">
        <v>2171</v>
      </c>
      <c r="C163" s="542" t="s">
        <v>3849</v>
      </c>
      <c r="D163" s="650" t="s">
        <v>3847</v>
      </c>
      <c r="E163" s="647"/>
      <c r="F163" s="537">
        <v>270.0</v>
      </c>
      <c r="G163" s="537">
        <v>100.0</v>
      </c>
      <c r="H163" s="536"/>
      <c r="I163" s="536"/>
      <c r="J163" s="537">
        <v>1.0</v>
      </c>
      <c r="K163" s="537">
        <v>1.0</v>
      </c>
      <c r="L163" s="536"/>
      <c r="M163" s="536"/>
      <c r="N163" s="536"/>
      <c r="O163" s="536"/>
      <c r="P163" s="536"/>
      <c r="Q163" s="537">
        <v>1.0</v>
      </c>
      <c r="R163" s="537"/>
      <c r="S163" s="537"/>
      <c r="T163" s="537" t="str">
        <f t="shared" si="1"/>
        <v/>
      </c>
      <c r="U163" s="536"/>
      <c r="V163" s="536"/>
      <c r="W163" s="536"/>
      <c r="X163" s="536"/>
      <c r="Y163" s="536"/>
      <c r="Z163" s="536"/>
      <c r="AA163" s="536"/>
      <c r="AB163" s="536"/>
      <c r="AC163" s="536"/>
      <c r="AD163" s="536"/>
      <c r="AE163" s="536"/>
      <c r="AF163" s="536"/>
      <c r="AG163" s="536"/>
    </row>
    <row r="164">
      <c r="B164" s="649" t="s">
        <v>2166</v>
      </c>
      <c r="C164" s="542" t="s">
        <v>3851</v>
      </c>
      <c r="D164" s="650" t="s">
        <v>3850</v>
      </c>
      <c r="E164" s="647"/>
      <c r="F164" s="537">
        <v>924.0</v>
      </c>
      <c r="G164" s="537">
        <v>25.0</v>
      </c>
      <c r="H164" s="537">
        <v>1.0</v>
      </c>
      <c r="I164" s="537">
        <v>1.0</v>
      </c>
      <c r="J164" s="537">
        <v>1.0</v>
      </c>
      <c r="K164" s="537">
        <v>1.0</v>
      </c>
      <c r="L164" s="536"/>
      <c r="M164" s="536"/>
      <c r="N164" s="536"/>
      <c r="O164" s="536"/>
      <c r="P164" s="536"/>
      <c r="Q164" s="536"/>
      <c r="R164" s="537"/>
      <c r="S164" s="537"/>
      <c r="T164" s="537" t="str">
        <f t="shared" si="1"/>
        <v/>
      </c>
      <c r="U164" s="536"/>
      <c r="V164" s="536"/>
      <c r="W164" s="536"/>
      <c r="X164" s="536"/>
      <c r="Y164" s="536"/>
      <c r="Z164" s="536"/>
      <c r="AA164" s="536"/>
      <c r="AB164" s="536"/>
      <c r="AC164" s="536"/>
      <c r="AD164" s="536"/>
      <c r="AE164" s="536"/>
      <c r="AF164" s="536"/>
      <c r="AG164" s="536"/>
    </row>
    <row r="165">
      <c r="B165" s="649" t="s">
        <v>2161</v>
      </c>
      <c r="C165" s="542" t="s">
        <v>3854</v>
      </c>
      <c r="D165" s="650" t="s">
        <v>3852</v>
      </c>
      <c r="E165" s="642" t="s">
        <v>3728</v>
      </c>
      <c r="F165" s="537">
        <v>175.0</v>
      </c>
      <c r="G165" s="537">
        <v>0.0</v>
      </c>
      <c r="H165" s="536"/>
      <c r="I165" s="536"/>
      <c r="J165" s="536"/>
      <c r="K165" s="536"/>
      <c r="L165" s="536"/>
      <c r="M165" s="536"/>
      <c r="N165" s="536"/>
      <c r="O165" s="536"/>
      <c r="P165" s="536"/>
      <c r="Q165" s="536"/>
      <c r="R165" s="537"/>
      <c r="S165" s="537"/>
      <c r="T165" s="537" t="str">
        <f t="shared" si="1"/>
        <v/>
      </c>
      <c r="U165" s="536"/>
      <c r="V165" s="536"/>
      <c r="W165" s="536"/>
      <c r="X165" s="536"/>
      <c r="Y165" s="536"/>
      <c r="Z165" s="536"/>
      <c r="AA165" s="536"/>
      <c r="AB165" s="536"/>
      <c r="AC165" s="536"/>
      <c r="AD165" s="536"/>
      <c r="AE165" s="536"/>
      <c r="AF165" s="536"/>
      <c r="AG165" s="536"/>
    </row>
    <row r="166">
      <c r="B166" s="649" t="s">
        <v>2156</v>
      </c>
      <c r="C166" s="542" t="s">
        <v>3856</v>
      </c>
      <c r="D166" s="650" t="s">
        <v>3855</v>
      </c>
      <c r="E166" s="642" t="s">
        <v>3728</v>
      </c>
      <c r="F166" s="537">
        <v>268.0</v>
      </c>
      <c r="G166" s="537">
        <v>4.0</v>
      </c>
      <c r="H166" s="536"/>
      <c r="I166" s="536"/>
      <c r="J166" s="536"/>
      <c r="K166" s="536"/>
      <c r="L166" s="536"/>
      <c r="M166" s="536"/>
      <c r="N166" s="536"/>
      <c r="O166" s="536"/>
      <c r="P166" s="536"/>
      <c r="Q166" s="536"/>
      <c r="R166" s="537"/>
      <c r="S166" s="537"/>
      <c r="T166" s="537" t="str">
        <f t="shared" si="1"/>
        <v/>
      </c>
      <c r="U166" s="536"/>
      <c r="V166" s="536"/>
      <c r="W166" s="536"/>
      <c r="X166" s="536"/>
      <c r="Y166" s="536"/>
      <c r="Z166" s="536"/>
      <c r="AA166" s="536"/>
      <c r="AB166" s="536"/>
      <c r="AC166" s="536"/>
      <c r="AD166" s="536"/>
      <c r="AE166" s="536"/>
      <c r="AF166" s="536"/>
      <c r="AG166" s="536"/>
    </row>
    <row r="167">
      <c r="B167" s="649" t="s">
        <v>2151</v>
      </c>
      <c r="C167" s="542" t="s">
        <v>3857</v>
      </c>
      <c r="D167" s="650" t="s">
        <v>3744</v>
      </c>
      <c r="E167" s="647"/>
      <c r="F167" s="537">
        <v>332.0</v>
      </c>
      <c r="G167" s="537">
        <v>543.0</v>
      </c>
      <c r="H167" s="537">
        <v>1.0</v>
      </c>
      <c r="I167" s="536"/>
      <c r="J167" s="537"/>
      <c r="K167" s="537">
        <v>1.0</v>
      </c>
      <c r="L167" s="536"/>
      <c r="M167" s="536"/>
      <c r="N167" s="536"/>
      <c r="O167" s="536"/>
      <c r="P167" s="536"/>
      <c r="Q167" s="536"/>
      <c r="R167" s="537"/>
      <c r="S167" s="537"/>
      <c r="T167" s="537" t="str">
        <f t="shared" si="1"/>
        <v/>
      </c>
      <c r="U167" s="537">
        <v>1.0</v>
      </c>
      <c r="V167" s="536"/>
      <c r="W167" s="536"/>
      <c r="X167" s="536"/>
      <c r="Y167" s="536"/>
      <c r="Z167" s="536"/>
      <c r="AA167" s="536"/>
      <c r="AB167" s="536"/>
      <c r="AC167" s="536"/>
      <c r="AD167" s="536"/>
      <c r="AE167" s="536"/>
      <c r="AF167" s="536"/>
      <c r="AG167" s="536"/>
    </row>
    <row r="168">
      <c r="B168" s="649" t="s">
        <v>2146</v>
      </c>
      <c r="C168" s="542" t="s">
        <v>3861</v>
      </c>
      <c r="D168" s="650" t="s">
        <v>3858</v>
      </c>
      <c r="E168" s="642" t="s">
        <v>1263</v>
      </c>
      <c r="F168" s="537">
        <v>455.0</v>
      </c>
      <c r="G168" s="537">
        <v>204.0</v>
      </c>
      <c r="H168" s="537">
        <v>1.0</v>
      </c>
      <c r="I168" s="536"/>
      <c r="J168" s="537">
        <v>1.0</v>
      </c>
      <c r="K168" s="536"/>
      <c r="L168" s="536"/>
      <c r="M168" s="536"/>
      <c r="N168" s="536"/>
      <c r="O168" s="536"/>
      <c r="P168" s="536"/>
      <c r="Q168" s="537">
        <v>1.0</v>
      </c>
      <c r="R168" s="537"/>
      <c r="S168" s="537"/>
      <c r="T168" s="537" t="str">
        <f t="shared" si="1"/>
        <v/>
      </c>
      <c r="U168" s="537">
        <v>1.0</v>
      </c>
      <c r="V168" s="537"/>
      <c r="W168" s="536"/>
      <c r="X168" s="536"/>
      <c r="Y168" s="536"/>
      <c r="Z168" s="536"/>
      <c r="AA168" s="536"/>
      <c r="AB168" s="536"/>
      <c r="AC168" s="536"/>
      <c r="AD168" s="536"/>
      <c r="AE168" s="536"/>
      <c r="AF168" s="536"/>
      <c r="AG168" s="536"/>
    </row>
    <row r="169">
      <c r="B169" s="649" t="s">
        <v>2141</v>
      </c>
      <c r="C169" s="542" t="s">
        <v>3864</v>
      </c>
      <c r="D169" s="650" t="s">
        <v>3862</v>
      </c>
      <c r="E169" s="647"/>
      <c r="F169" s="537">
        <v>269.0</v>
      </c>
      <c r="G169" s="537">
        <v>116.0</v>
      </c>
      <c r="H169" s="536"/>
      <c r="I169" s="536"/>
      <c r="J169" s="537">
        <v>1.0</v>
      </c>
      <c r="K169" s="536"/>
      <c r="L169" s="536"/>
      <c r="M169" s="536"/>
      <c r="N169" s="536"/>
      <c r="O169" s="536"/>
      <c r="P169" s="536"/>
      <c r="Q169" s="537">
        <v>1.0</v>
      </c>
      <c r="R169" s="537"/>
      <c r="S169" s="537"/>
      <c r="T169" s="537" t="str">
        <f t="shared" si="1"/>
        <v/>
      </c>
      <c r="U169" s="537">
        <v>1.0</v>
      </c>
      <c r="V169" s="537"/>
      <c r="W169" s="536"/>
      <c r="X169" s="536"/>
      <c r="Y169" s="536"/>
      <c r="Z169" s="536"/>
      <c r="AA169" s="536"/>
      <c r="AB169" s="536"/>
      <c r="AC169" s="536"/>
      <c r="AD169" s="536"/>
      <c r="AE169" s="536"/>
      <c r="AF169" s="536"/>
      <c r="AG169" s="536"/>
    </row>
    <row r="170">
      <c r="B170" s="649" t="s">
        <v>2136</v>
      </c>
      <c r="C170" s="542" t="s">
        <v>3867</v>
      </c>
      <c r="D170" s="650" t="s">
        <v>3865</v>
      </c>
      <c r="E170" s="642" t="s">
        <v>1263</v>
      </c>
      <c r="F170" s="537">
        <v>403251.0</v>
      </c>
      <c r="G170" s="537">
        <v>1.0</v>
      </c>
      <c r="H170" s="536"/>
      <c r="I170" s="536"/>
      <c r="J170" s="537">
        <v>1.0</v>
      </c>
      <c r="K170" s="536"/>
      <c r="L170" s="536"/>
      <c r="M170" s="536"/>
      <c r="N170" s="536"/>
      <c r="O170" s="536"/>
      <c r="P170" s="536"/>
      <c r="Q170" s="537">
        <v>1.0</v>
      </c>
      <c r="R170" s="537"/>
      <c r="S170" s="537">
        <v>1.0</v>
      </c>
      <c r="T170" s="537" t="str">
        <f t="shared" si="1"/>
        <v/>
      </c>
      <c r="U170" s="536"/>
      <c r="V170" s="536"/>
      <c r="W170" s="536"/>
      <c r="X170" s="536"/>
      <c r="Y170" s="536"/>
      <c r="Z170" s="536"/>
      <c r="AA170" s="536"/>
      <c r="AB170" s="536"/>
      <c r="AC170" s="536"/>
      <c r="AD170" s="536"/>
      <c r="AE170" s="536"/>
      <c r="AF170" s="536"/>
      <c r="AG170" s="536"/>
    </row>
    <row r="171">
      <c r="A171" s="659" t="s">
        <v>1975</v>
      </c>
      <c r="B171" s="660" t="s">
        <v>2130</v>
      </c>
      <c r="C171" s="551" t="s">
        <v>3870</v>
      </c>
      <c r="D171" s="661" t="s">
        <v>3868</v>
      </c>
      <c r="E171" s="662"/>
      <c r="F171" s="545">
        <v>627.0</v>
      </c>
      <c r="G171" s="545">
        <v>150.0</v>
      </c>
      <c r="H171" s="545">
        <v>1.0</v>
      </c>
      <c r="I171" s="545">
        <v>1.0</v>
      </c>
      <c r="J171" s="545">
        <v>1.0</v>
      </c>
      <c r="K171" s="545">
        <v>1.0</v>
      </c>
      <c r="L171" s="545">
        <v>1.0</v>
      </c>
      <c r="M171" s="546"/>
      <c r="N171" s="546"/>
      <c r="O171" s="546"/>
      <c r="P171" s="546"/>
      <c r="Q171" s="545">
        <v>1.0</v>
      </c>
      <c r="R171" s="545"/>
      <c r="S171" s="545"/>
      <c r="T171" s="545" t="str">
        <f t="shared" si="1"/>
        <v/>
      </c>
      <c r="U171" s="545">
        <v>1.0</v>
      </c>
      <c r="V171" s="545"/>
      <c r="W171" s="546"/>
      <c r="X171" s="546"/>
      <c r="Y171" s="546"/>
      <c r="Z171" s="546"/>
      <c r="AA171" s="546"/>
      <c r="AB171" s="546"/>
      <c r="AC171" s="546"/>
      <c r="AD171" s="546"/>
      <c r="AE171" s="546"/>
      <c r="AF171" s="546"/>
      <c r="AG171" s="546"/>
    </row>
    <row r="172">
      <c r="B172" s="660" t="s">
        <v>2125</v>
      </c>
      <c r="C172" s="551" t="s">
        <v>3872</v>
      </c>
      <c r="D172" s="661" t="s">
        <v>2551</v>
      </c>
      <c r="E172" s="662"/>
      <c r="F172" s="545">
        <v>2955.0</v>
      </c>
      <c r="G172" s="545">
        <v>8.0</v>
      </c>
      <c r="H172" s="545">
        <v>1.0</v>
      </c>
      <c r="I172" s="545">
        <v>1.0</v>
      </c>
      <c r="J172" s="546"/>
      <c r="K172" s="545">
        <v>1.0</v>
      </c>
      <c r="L172" s="546"/>
      <c r="M172" s="545">
        <v>1.0</v>
      </c>
      <c r="N172" s="546"/>
      <c r="O172" s="546"/>
      <c r="P172" s="546"/>
      <c r="Q172" s="545">
        <v>1.0</v>
      </c>
      <c r="R172" s="545"/>
      <c r="S172" s="545">
        <v>1.0</v>
      </c>
      <c r="T172" s="545" t="str">
        <f t="shared" si="1"/>
        <v/>
      </c>
      <c r="U172" s="545">
        <v>1.0</v>
      </c>
      <c r="V172" s="545"/>
      <c r="W172" s="546"/>
      <c r="X172" s="546"/>
      <c r="Y172" s="546"/>
      <c r="Z172" s="546"/>
      <c r="AA172" s="546"/>
      <c r="AB172" s="546"/>
      <c r="AC172" s="546"/>
      <c r="AD172" s="546"/>
      <c r="AE172" s="546"/>
      <c r="AF172" s="546"/>
      <c r="AG172" s="546"/>
    </row>
    <row r="173">
      <c r="B173" s="660" t="s">
        <v>2120</v>
      </c>
      <c r="C173" s="551" t="s">
        <v>3876</v>
      </c>
      <c r="D173" s="661" t="s">
        <v>3873</v>
      </c>
      <c r="E173" s="663" t="s">
        <v>1263</v>
      </c>
      <c r="F173" s="545">
        <v>258.0</v>
      </c>
      <c r="G173" s="545">
        <v>56.0</v>
      </c>
      <c r="H173" s="545">
        <v>1.0</v>
      </c>
      <c r="I173" s="545">
        <v>1.0</v>
      </c>
      <c r="J173" s="545">
        <v>1.0</v>
      </c>
      <c r="K173" s="545">
        <v>1.0</v>
      </c>
      <c r="L173" s="546"/>
      <c r="M173" s="546"/>
      <c r="N173" s="546"/>
      <c r="O173" s="546"/>
      <c r="P173" s="546"/>
      <c r="Q173" s="545">
        <v>1.0</v>
      </c>
      <c r="R173" s="545"/>
      <c r="S173" s="545"/>
      <c r="T173" s="545" t="str">
        <f t="shared" si="1"/>
        <v/>
      </c>
      <c r="U173" s="546"/>
      <c r="V173" s="546"/>
      <c r="W173" s="546"/>
      <c r="X173" s="546"/>
      <c r="Y173" s="546"/>
      <c r="Z173" s="546"/>
      <c r="AA173" s="546"/>
      <c r="AB173" s="546"/>
      <c r="AC173" s="546"/>
      <c r="AD173" s="546"/>
      <c r="AE173" s="546"/>
      <c r="AF173" s="546"/>
      <c r="AG173" s="546"/>
    </row>
    <row r="174">
      <c r="B174" s="660" t="s">
        <v>2115</v>
      </c>
      <c r="C174" s="551" t="s">
        <v>3879</v>
      </c>
      <c r="D174" s="661" t="s">
        <v>3877</v>
      </c>
      <c r="E174" s="662"/>
      <c r="F174" s="545">
        <v>346.0</v>
      </c>
      <c r="G174" s="545">
        <v>15.0</v>
      </c>
      <c r="H174" s="545">
        <v>1.0</v>
      </c>
      <c r="I174" s="546"/>
      <c r="J174" s="545">
        <v>1.0</v>
      </c>
      <c r="K174" s="546"/>
      <c r="L174" s="546"/>
      <c r="M174" s="546"/>
      <c r="N174" s="545">
        <v>1.0</v>
      </c>
      <c r="O174" s="546"/>
      <c r="P174" s="546"/>
      <c r="Q174" s="545">
        <v>1.0</v>
      </c>
      <c r="R174" s="545"/>
      <c r="S174" s="545"/>
      <c r="T174" s="545" t="str">
        <f t="shared" si="1"/>
        <v/>
      </c>
      <c r="U174" s="545">
        <v>1.0</v>
      </c>
      <c r="V174" s="545"/>
      <c r="W174" s="546"/>
      <c r="X174" s="546"/>
      <c r="Y174" s="546"/>
      <c r="Z174" s="546"/>
      <c r="AA174" s="546"/>
      <c r="AB174" s="546"/>
      <c r="AC174" s="546"/>
      <c r="AD174" s="546"/>
      <c r="AE174" s="546"/>
      <c r="AF174" s="546"/>
      <c r="AG174" s="546"/>
    </row>
    <row r="175">
      <c r="B175" s="660" t="s">
        <v>2110</v>
      </c>
      <c r="C175" s="551" t="s">
        <v>3880</v>
      </c>
      <c r="D175" s="661" t="s">
        <v>3762</v>
      </c>
      <c r="E175" s="662"/>
      <c r="F175" s="545">
        <v>741.0</v>
      </c>
      <c r="G175" s="545">
        <v>152.0</v>
      </c>
      <c r="H175" s="545">
        <v>1.0</v>
      </c>
      <c r="I175" s="545">
        <v>1.0</v>
      </c>
      <c r="J175" s="545">
        <v>1.0</v>
      </c>
      <c r="K175" s="546"/>
      <c r="L175" s="545">
        <v>1.0</v>
      </c>
      <c r="M175" s="545">
        <v>1.0</v>
      </c>
      <c r="N175" s="546"/>
      <c r="O175" s="546"/>
      <c r="P175" s="546"/>
      <c r="Q175" s="545">
        <v>1.0</v>
      </c>
      <c r="R175" s="545"/>
      <c r="S175" s="545">
        <v>1.0</v>
      </c>
      <c r="T175" s="545" t="str">
        <f t="shared" si="1"/>
        <v/>
      </c>
      <c r="U175" s="546"/>
      <c r="V175" s="546"/>
      <c r="W175" s="546"/>
      <c r="X175" s="546"/>
      <c r="Y175" s="546"/>
      <c r="Z175" s="546"/>
      <c r="AA175" s="546"/>
      <c r="AB175" s="546"/>
      <c r="AC175" s="546"/>
      <c r="AD175" s="546"/>
      <c r="AE175" s="546"/>
      <c r="AF175" s="546"/>
      <c r="AG175" s="546"/>
    </row>
    <row r="176">
      <c r="B176" s="660" t="s">
        <v>2105</v>
      </c>
      <c r="C176" s="551" t="s">
        <v>3883</v>
      </c>
      <c r="D176" s="661" t="s">
        <v>3881</v>
      </c>
      <c r="E176" s="663" t="s">
        <v>3728</v>
      </c>
      <c r="F176" s="545">
        <v>396.0</v>
      </c>
      <c r="G176" s="545">
        <v>175.0</v>
      </c>
      <c r="H176" s="546"/>
      <c r="I176" s="546"/>
      <c r="J176" s="546"/>
      <c r="K176" s="546"/>
      <c r="L176" s="546"/>
      <c r="M176" s="546"/>
      <c r="N176" s="546"/>
      <c r="O176" s="546"/>
      <c r="P176" s="546"/>
      <c r="Q176" s="546"/>
      <c r="R176" s="545"/>
      <c r="S176" s="545"/>
      <c r="T176" s="545" t="str">
        <f t="shared" si="1"/>
        <v/>
      </c>
      <c r="U176" s="546"/>
      <c r="V176" s="546"/>
      <c r="W176" s="546"/>
      <c r="X176" s="546"/>
      <c r="Y176" s="546"/>
      <c r="Z176" s="546"/>
      <c r="AA176" s="546"/>
      <c r="AB176" s="546"/>
      <c r="AC176" s="546"/>
      <c r="AD176" s="546"/>
      <c r="AE176" s="546"/>
      <c r="AF176" s="546"/>
      <c r="AG176" s="546"/>
    </row>
    <row r="177">
      <c r="B177" s="660" t="s">
        <v>2100</v>
      </c>
      <c r="C177" s="551" t="s">
        <v>3885</v>
      </c>
      <c r="D177" s="661" t="s">
        <v>3757</v>
      </c>
      <c r="E177" s="662"/>
      <c r="F177" s="545">
        <v>104.0</v>
      </c>
      <c r="G177" s="545">
        <v>4.0</v>
      </c>
      <c r="H177" s="545">
        <v>1.0</v>
      </c>
      <c r="I177" s="546"/>
      <c r="J177" s="545">
        <v>1.0</v>
      </c>
      <c r="K177" s="546"/>
      <c r="L177" s="546"/>
      <c r="M177" s="546"/>
      <c r="N177" s="546"/>
      <c r="O177" s="546"/>
      <c r="P177" s="546"/>
      <c r="Q177" s="545">
        <v>1.0</v>
      </c>
      <c r="R177" s="545"/>
      <c r="S177" s="545"/>
      <c r="T177" s="545" t="str">
        <f t="shared" si="1"/>
        <v/>
      </c>
      <c r="U177" s="546"/>
      <c r="V177" s="546"/>
      <c r="W177" s="546"/>
      <c r="X177" s="546"/>
      <c r="Y177" s="546"/>
      <c r="Z177" s="546"/>
      <c r="AA177" s="546"/>
      <c r="AB177" s="546"/>
      <c r="AC177" s="546"/>
      <c r="AD177" s="546"/>
      <c r="AE177" s="546"/>
      <c r="AF177" s="546"/>
      <c r="AG177" s="546"/>
    </row>
    <row r="178">
      <c r="B178" s="660" t="s">
        <v>2095</v>
      </c>
      <c r="C178" s="551" t="s">
        <v>3887</v>
      </c>
      <c r="D178" s="661" t="s">
        <v>642</v>
      </c>
      <c r="E178" s="662"/>
      <c r="F178" s="545">
        <v>162.0</v>
      </c>
      <c r="G178" s="545">
        <v>40.0</v>
      </c>
      <c r="H178" s="546"/>
      <c r="I178" s="545">
        <v>1.0</v>
      </c>
      <c r="J178" s="545">
        <v>1.0</v>
      </c>
      <c r="K178" s="545">
        <v>1.0</v>
      </c>
      <c r="L178" s="546"/>
      <c r="M178" s="546"/>
      <c r="N178" s="545"/>
      <c r="O178" s="545">
        <v>1.0</v>
      </c>
      <c r="P178" s="546"/>
      <c r="Q178" s="545">
        <v>1.0</v>
      </c>
      <c r="R178" s="545"/>
      <c r="S178" s="545"/>
      <c r="T178" s="545" t="str">
        <f t="shared" si="1"/>
        <v/>
      </c>
      <c r="U178" s="546"/>
      <c r="V178" s="546"/>
      <c r="W178" s="546"/>
      <c r="X178" s="546"/>
      <c r="Y178" s="546"/>
      <c r="Z178" s="546"/>
      <c r="AA178" s="546"/>
      <c r="AB178" s="546"/>
      <c r="AC178" s="546"/>
      <c r="AD178" s="546"/>
      <c r="AE178" s="546"/>
      <c r="AF178" s="546"/>
      <c r="AG178" s="546"/>
    </row>
    <row r="179">
      <c r="B179" s="660" t="s">
        <v>2090</v>
      </c>
      <c r="C179" s="551" t="s">
        <v>3890</v>
      </c>
      <c r="D179" s="661" t="s">
        <v>3888</v>
      </c>
      <c r="E179" s="663" t="s">
        <v>3728</v>
      </c>
      <c r="F179" s="545">
        <v>158.0</v>
      </c>
      <c r="G179" s="545">
        <v>0.0</v>
      </c>
      <c r="H179" s="546"/>
      <c r="I179" s="546"/>
      <c r="J179" s="546"/>
      <c r="K179" s="546"/>
      <c r="L179" s="546"/>
      <c r="M179" s="546"/>
      <c r="N179" s="546"/>
      <c r="O179" s="546"/>
      <c r="P179" s="546"/>
      <c r="Q179" s="546"/>
      <c r="R179" s="545"/>
      <c r="S179" s="545"/>
      <c r="T179" s="545" t="str">
        <f t="shared" si="1"/>
        <v/>
      </c>
      <c r="U179" s="546"/>
      <c r="V179" s="546"/>
      <c r="W179" s="546"/>
      <c r="X179" s="546"/>
      <c r="Y179" s="546"/>
      <c r="Z179" s="546"/>
      <c r="AA179" s="546"/>
      <c r="AB179" s="546"/>
      <c r="AC179" s="546"/>
      <c r="AD179" s="546"/>
      <c r="AE179" s="546"/>
      <c r="AF179" s="546"/>
      <c r="AG179" s="546"/>
    </row>
    <row r="180">
      <c r="B180" s="660" t="s">
        <v>2085</v>
      </c>
      <c r="C180" s="551" t="s">
        <v>3891</v>
      </c>
      <c r="D180" s="661" t="s">
        <v>2572</v>
      </c>
      <c r="E180" s="662"/>
      <c r="F180" s="545">
        <v>581.0</v>
      </c>
      <c r="G180" s="545">
        <v>472.0</v>
      </c>
      <c r="H180" s="545">
        <v>1.0</v>
      </c>
      <c r="I180" s="546"/>
      <c r="J180" s="545">
        <v>1.0</v>
      </c>
      <c r="K180" s="546"/>
      <c r="L180" s="545">
        <v>1.0</v>
      </c>
      <c r="M180" s="546"/>
      <c r="N180" s="545">
        <v>1.0</v>
      </c>
      <c r="O180" s="546"/>
      <c r="P180" s="546"/>
      <c r="Q180" s="545">
        <v>1.0</v>
      </c>
      <c r="R180" s="545">
        <v>1.0</v>
      </c>
      <c r="S180" s="545"/>
      <c r="T180" s="545" t="str">
        <f t="shared" si="1"/>
        <v/>
      </c>
      <c r="U180" s="546"/>
      <c r="V180" s="546"/>
      <c r="W180" s="546"/>
      <c r="X180" s="546"/>
      <c r="Y180" s="546"/>
      <c r="Z180" s="546"/>
      <c r="AA180" s="546"/>
      <c r="AB180" s="546"/>
      <c r="AC180" s="546"/>
      <c r="AD180" s="546"/>
      <c r="AE180" s="546"/>
      <c r="AF180" s="546"/>
      <c r="AG180" s="546"/>
    </row>
    <row r="181">
      <c r="B181" s="660" t="s">
        <v>2080</v>
      </c>
      <c r="C181" s="551" t="s">
        <v>3893</v>
      </c>
      <c r="D181" s="661" t="s">
        <v>2565</v>
      </c>
      <c r="E181" s="662"/>
      <c r="F181" s="545">
        <v>711.0</v>
      </c>
      <c r="G181" s="545">
        <v>13.0</v>
      </c>
      <c r="H181" s="545">
        <v>1.0</v>
      </c>
      <c r="I181" s="546"/>
      <c r="J181" s="545">
        <v>1.0</v>
      </c>
      <c r="K181" s="545">
        <v>1.0</v>
      </c>
      <c r="L181" s="545">
        <v>1.0</v>
      </c>
      <c r="M181" s="546"/>
      <c r="N181" s="545"/>
      <c r="O181" s="545">
        <v>1.0</v>
      </c>
      <c r="P181" s="546"/>
      <c r="Q181" s="545">
        <v>1.0</v>
      </c>
      <c r="R181" s="545"/>
      <c r="S181" s="545"/>
      <c r="T181" s="545" t="str">
        <f t="shared" si="1"/>
        <v/>
      </c>
      <c r="U181" s="546"/>
      <c r="V181" s="546"/>
      <c r="W181" s="546"/>
      <c r="X181" s="546"/>
      <c r="Y181" s="546"/>
      <c r="Z181" s="546"/>
      <c r="AA181" s="546"/>
      <c r="AB181" s="546"/>
      <c r="AC181" s="546"/>
      <c r="AD181" s="546"/>
      <c r="AE181" s="546"/>
      <c r="AF181" s="546"/>
      <c r="AG181" s="546"/>
    </row>
    <row r="182">
      <c r="B182" s="660" t="s">
        <v>2075</v>
      </c>
      <c r="C182" s="551" t="s">
        <v>3895</v>
      </c>
      <c r="D182" s="661" t="s">
        <v>2558</v>
      </c>
      <c r="E182" s="663" t="s">
        <v>3728</v>
      </c>
      <c r="F182" s="545">
        <v>329.0</v>
      </c>
      <c r="G182" s="545">
        <v>6.0</v>
      </c>
      <c r="H182" s="546"/>
      <c r="I182" s="546"/>
      <c r="J182" s="546"/>
      <c r="K182" s="546"/>
      <c r="L182" s="546"/>
      <c r="M182" s="546"/>
      <c r="N182" s="546"/>
      <c r="O182" s="546"/>
      <c r="P182" s="546"/>
      <c r="Q182" s="546"/>
      <c r="R182" s="545"/>
      <c r="S182" s="545"/>
      <c r="T182" s="545" t="str">
        <f t="shared" si="1"/>
        <v/>
      </c>
      <c r="U182" s="546"/>
      <c r="V182" s="546"/>
      <c r="W182" s="546"/>
      <c r="X182" s="546"/>
      <c r="Y182" s="546"/>
      <c r="Z182" s="546"/>
      <c r="AA182" s="546"/>
      <c r="AB182" s="546"/>
      <c r="AC182" s="546"/>
      <c r="AD182" s="546"/>
      <c r="AE182" s="546"/>
      <c r="AF182" s="546"/>
      <c r="AG182" s="546"/>
    </row>
    <row r="183">
      <c r="B183" s="660" t="s">
        <v>2070</v>
      </c>
      <c r="C183" s="551" t="s">
        <v>3898</v>
      </c>
      <c r="D183" s="661" t="s">
        <v>3896</v>
      </c>
      <c r="E183" s="662"/>
      <c r="F183" s="546"/>
      <c r="G183" s="546"/>
      <c r="H183" s="546"/>
      <c r="I183" s="546"/>
      <c r="J183" s="546"/>
      <c r="K183" s="546"/>
      <c r="L183" s="546"/>
      <c r="M183" s="546"/>
      <c r="N183" s="546"/>
      <c r="O183" s="546"/>
      <c r="P183" s="546"/>
      <c r="Q183" s="545">
        <v>1.0</v>
      </c>
      <c r="R183" s="545"/>
      <c r="S183" s="545"/>
      <c r="T183" s="545" t="str">
        <f t="shared" si="1"/>
        <v/>
      </c>
      <c r="U183" s="545">
        <v>1.0</v>
      </c>
      <c r="V183" s="552"/>
      <c r="W183" s="546"/>
      <c r="X183" s="546"/>
      <c r="Y183" s="546"/>
      <c r="Z183" s="546"/>
      <c r="AA183" s="546"/>
      <c r="AB183" s="546"/>
      <c r="AC183" s="546"/>
      <c r="AD183" s="546"/>
      <c r="AE183" s="546"/>
      <c r="AF183" s="546"/>
      <c r="AG183" s="546"/>
    </row>
    <row r="184">
      <c r="B184" s="660" t="s">
        <v>2065</v>
      </c>
      <c r="C184" s="551" t="s">
        <v>3900</v>
      </c>
      <c r="D184" s="661" t="s">
        <v>2513</v>
      </c>
      <c r="E184" s="662"/>
      <c r="F184" s="545">
        <v>761.0</v>
      </c>
      <c r="G184" s="545">
        <v>9.0</v>
      </c>
      <c r="H184" s="546"/>
      <c r="I184" s="546"/>
      <c r="J184" s="546"/>
      <c r="K184" s="546"/>
      <c r="L184" s="546"/>
      <c r="M184" s="546"/>
      <c r="N184" s="545">
        <v>1.0</v>
      </c>
      <c r="O184" s="546"/>
      <c r="P184" s="546"/>
      <c r="Q184" s="545">
        <v>1.0</v>
      </c>
      <c r="R184" s="545"/>
      <c r="S184" s="545"/>
      <c r="T184" s="545" t="str">
        <f t="shared" si="1"/>
        <v/>
      </c>
      <c r="U184" s="546"/>
      <c r="V184" s="546"/>
      <c r="W184" s="546"/>
      <c r="X184" s="546"/>
      <c r="Y184" s="546"/>
      <c r="Z184" s="546"/>
      <c r="AA184" s="546"/>
      <c r="AB184" s="546"/>
      <c r="AC184" s="546"/>
      <c r="AD184" s="546"/>
      <c r="AE184" s="546"/>
      <c r="AF184" s="546"/>
      <c r="AG184" s="546"/>
    </row>
    <row r="185">
      <c r="B185" s="660" t="s">
        <v>2060</v>
      </c>
      <c r="C185" s="551" t="s">
        <v>3901</v>
      </c>
      <c r="D185" s="661" t="s">
        <v>2507</v>
      </c>
      <c r="E185" s="663" t="s">
        <v>3728</v>
      </c>
      <c r="F185" s="546"/>
      <c r="G185" s="546"/>
      <c r="H185" s="546"/>
      <c r="I185" s="546"/>
      <c r="J185" s="546"/>
      <c r="K185" s="546"/>
      <c r="L185" s="546"/>
      <c r="M185" s="546"/>
      <c r="N185" s="546"/>
      <c r="O185" s="546"/>
      <c r="P185" s="546"/>
      <c r="Q185" s="546"/>
      <c r="R185" s="545"/>
      <c r="S185" s="545"/>
      <c r="T185" s="545" t="str">
        <f t="shared" si="1"/>
        <v/>
      </c>
      <c r="U185" s="546"/>
      <c r="V185" s="546"/>
      <c r="W185" s="546"/>
      <c r="X185" s="546"/>
      <c r="Y185" s="546"/>
      <c r="Z185" s="546"/>
      <c r="AA185" s="546"/>
      <c r="AB185" s="546"/>
      <c r="AC185" s="546"/>
      <c r="AD185" s="546"/>
      <c r="AE185" s="546"/>
      <c r="AF185" s="546"/>
      <c r="AG185" s="546"/>
    </row>
    <row r="186">
      <c r="B186" s="660" t="s">
        <v>2055</v>
      </c>
      <c r="C186" s="551" t="s">
        <v>3902</v>
      </c>
      <c r="D186" s="661" t="s">
        <v>3765</v>
      </c>
      <c r="E186" s="662"/>
      <c r="F186" s="545">
        <v>573.0</v>
      </c>
      <c r="G186" s="545">
        <v>59.0</v>
      </c>
      <c r="H186" s="546"/>
      <c r="I186" s="546"/>
      <c r="J186" s="545"/>
      <c r="K186" s="545">
        <v>1.0</v>
      </c>
      <c r="L186" s="546"/>
      <c r="M186" s="546"/>
      <c r="N186" s="545">
        <v>1.0</v>
      </c>
      <c r="O186" s="546"/>
      <c r="P186" s="546"/>
      <c r="Q186" s="546"/>
      <c r="R186" s="545"/>
      <c r="S186" s="545"/>
      <c r="T186" s="545" t="str">
        <f t="shared" si="1"/>
        <v/>
      </c>
      <c r="U186" s="546"/>
      <c r="V186" s="546"/>
      <c r="W186" s="546"/>
      <c r="X186" s="546"/>
      <c r="Y186" s="546"/>
      <c r="Z186" s="546"/>
      <c r="AA186" s="546"/>
      <c r="AB186" s="546"/>
      <c r="AC186" s="546"/>
      <c r="AD186" s="546"/>
      <c r="AE186" s="546"/>
      <c r="AF186" s="546"/>
      <c r="AG186" s="546"/>
    </row>
    <row r="187">
      <c r="B187" s="660" t="s">
        <v>2050</v>
      </c>
      <c r="C187" s="551" t="s">
        <v>3903</v>
      </c>
      <c r="D187" s="661" t="s">
        <v>3767</v>
      </c>
      <c r="E187" s="663" t="s">
        <v>3728</v>
      </c>
      <c r="F187" s="546"/>
      <c r="G187" s="546"/>
      <c r="H187" s="546"/>
      <c r="I187" s="546"/>
      <c r="J187" s="546"/>
      <c r="K187" s="546"/>
      <c r="L187" s="546"/>
      <c r="M187" s="546"/>
      <c r="N187" s="546"/>
      <c r="O187" s="546"/>
      <c r="P187" s="546"/>
      <c r="Q187" s="546"/>
      <c r="R187" s="545"/>
      <c r="S187" s="545"/>
      <c r="T187" s="545" t="str">
        <f t="shared" si="1"/>
        <v/>
      </c>
      <c r="U187" s="546"/>
      <c r="V187" s="546"/>
      <c r="W187" s="546"/>
      <c r="X187" s="546"/>
      <c r="Y187" s="546"/>
      <c r="Z187" s="546"/>
      <c r="AA187" s="546"/>
      <c r="AB187" s="546"/>
      <c r="AC187" s="546"/>
      <c r="AD187" s="546"/>
      <c r="AE187" s="546"/>
      <c r="AF187" s="546"/>
      <c r="AG187" s="546"/>
    </row>
    <row r="188">
      <c r="B188" s="660" t="s">
        <v>2045</v>
      </c>
      <c r="C188" s="551" t="s">
        <v>3906</v>
      </c>
      <c r="D188" s="661" t="s">
        <v>3904</v>
      </c>
      <c r="E188" s="662"/>
      <c r="F188" s="545">
        <v>85082.0</v>
      </c>
      <c r="G188" s="545">
        <v>62.0</v>
      </c>
      <c r="H188" s="545">
        <v>1.0</v>
      </c>
      <c r="I188" s="545">
        <v>1.0</v>
      </c>
      <c r="J188" s="546"/>
      <c r="K188" s="546"/>
      <c r="L188" s="546"/>
      <c r="M188" s="546"/>
      <c r="N188" s="546"/>
      <c r="O188" s="546"/>
      <c r="P188" s="546"/>
      <c r="Q188" s="546"/>
      <c r="R188" s="545"/>
      <c r="S188" s="545">
        <v>1.0</v>
      </c>
      <c r="T188" s="545" t="str">
        <f t="shared" si="1"/>
        <v/>
      </c>
      <c r="U188" s="546"/>
      <c r="V188" s="546"/>
      <c r="W188" s="546"/>
      <c r="X188" s="546"/>
      <c r="Y188" s="546"/>
      <c r="Z188" s="546"/>
      <c r="AA188" s="546"/>
      <c r="AB188" s="546"/>
      <c r="AC188" s="546"/>
      <c r="AD188" s="546"/>
      <c r="AE188" s="546"/>
      <c r="AF188" s="546"/>
      <c r="AG188" s="546"/>
    </row>
    <row r="189">
      <c r="B189" s="660" t="s">
        <v>2040</v>
      </c>
      <c r="C189" s="551" t="s">
        <v>3908</v>
      </c>
      <c r="D189" s="661" t="s">
        <v>3907</v>
      </c>
      <c r="E189" s="662"/>
      <c r="F189" s="545">
        <v>94.0</v>
      </c>
      <c r="G189" s="545">
        <v>2.0</v>
      </c>
      <c r="H189" s="545">
        <v>1.0</v>
      </c>
      <c r="I189" s="546"/>
      <c r="J189" s="545">
        <v>1.0</v>
      </c>
      <c r="K189" s="546"/>
      <c r="L189" s="546"/>
      <c r="M189" s="546"/>
      <c r="N189" s="546"/>
      <c r="O189" s="546"/>
      <c r="P189" s="546"/>
      <c r="Q189" s="545">
        <v>1.0</v>
      </c>
      <c r="R189" s="545"/>
      <c r="S189" s="545"/>
      <c r="T189" s="545" t="str">
        <f t="shared" si="1"/>
        <v/>
      </c>
      <c r="U189" s="546"/>
      <c r="V189" s="546"/>
      <c r="W189" s="546"/>
      <c r="X189" s="546"/>
      <c r="Y189" s="546"/>
      <c r="Z189" s="546"/>
      <c r="AA189" s="546"/>
      <c r="AB189" s="546"/>
      <c r="AC189" s="546"/>
      <c r="AD189" s="546"/>
      <c r="AE189" s="546"/>
      <c r="AF189" s="546"/>
      <c r="AG189" s="546"/>
    </row>
    <row r="190">
      <c r="B190" s="660" t="s">
        <v>2034</v>
      </c>
      <c r="C190" s="551" t="s">
        <v>3911</v>
      </c>
      <c r="D190" s="661" t="s">
        <v>3909</v>
      </c>
      <c r="E190" s="662"/>
      <c r="F190" s="545">
        <v>105.0</v>
      </c>
      <c r="G190" s="545">
        <v>28.0</v>
      </c>
      <c r="H190" s="545">
        <v>1.0</v>
      </c>
      <c r="I190" s="545"/>
      <c r="J190" s="545">
        <v>1.0</v>
      </c>
      <c r="K190" s="546"/>
      <c r="L190" s="546"/>
      <c r="M190" s="546"/>
      <c r="N190" s="546"/>
      <c r="O190" s="546"/>
      <c r="P190" s="546"/>
      <c r="Q190" s="545">
        <v>1.0</v>
      </c>
      <c r="R190" s="545"/>
      <c r="S190" s="545"/>
      <c r="T190" s="545" t="str">
        <f t="shared" si="1"/>
        <v/>
      </c>
      <c r="U190" s="546"/>
      <c r="V190" s="546"/>
      <c r="W190" s="546"/>
      <c r="X190" s="546"/>
      <c r="Y190" s="546"/>
      <c r="Z190" s="546"/>
      <c r="AA190" s="546"/>
      <c r="AB190" s="546"/>
      <c r="AC190" s="546"/>
      <c r="AD190" s="546"/>
      <c r="AE190" s="546"/>
      <c r="AF190" s="546"/>
      <c r="AG190" s="546"/>
    </row>
    <row r="191">
      <c r="B191" s="660" t="s">
        <v>2029</v>
      </c>
      <c r="C191" s="551" t="s">
        <v>3914</v>
      </c>
      <c r="D191" s="661" t="s">
        <v>3912</v>
      </c>
      <c r="E191" s="663" t="s">
        <v>3728</v>
      </c>
      <c r="F191" s="545">
        <v>82.0</v>
      </c>
      <c r="G191" s="545">
        <v>11.0</v>
      </c>
      <c r="H191" s="546"/>
      <c r="I191" s="546"/>
      <c r="J191" s="546"/>
      <c r="K191" s="546"/>
      <c r="L191" s="546"/>
      <c r="M191" s="546"/>
      <c r="N191" s="546"/>
      <c r="O191" s="546"/>
      <c r="P191" s="546"/>
      <c r="Q191" s="546"/>
      <c r="R191" s="545"/>
      <c r="S191" s="545"/>
      <c r="T191" s="545" t="str">
        <f t="shared" si="1"/>
        <v/>
      </c>
      <c r="U191" s="546"/>
      <c r="V191" s="546"/>
      <c r="W191" s="546"/>
      <c r="X191" s="546"/>
      <c r="Y191" s="546"/>
      <c r="Z191" s="546"/>
      <c r="AA191" s="546"/>
      <c r="AB191" s="546"/>
      <c r="AC191" s="546"/>
      <c r="AD191" s="546"/>
      <c r="AE191" s="546"/>
      <c r="AF191" s="546"/>
      <c r="AG191" s="546"/>
    </row>
    <row r="192">
      <c r="B192" s="660" t="s">
        <v>2024</v>
      </c>
      <c r="C192" s="551" t="s">
        <v>3918</v>
      </c>
      <c r="D192" s="661" t="s">
        <v>3915</v>
      </c>
      <c r="E192" s="662"/>
      <c r="F192" s="545">
        <v>2506.0</v>
      </c>
      <c r="G192" s="545">
        <v>47.0</v>
      </c>
      <c r="H192" s="546"/>
      <c r="I192" s="546"/>
      <c r="J192" s="545">
        <v>1.0</v>
      </c>
      <c r="K192" s="546"/>
      <c r="L192" s="546"/>
      <c r="M192" s="546"/>
      <c r="N192" s="545">
        <v>1.0</v>
      </c>
      <c r="O192" s="545">
        <v>1.0</v>
      </c>
      <c r="P192" s="545">
        <v>1.0</v>
      </c>
      <c r="Q192" s="545">
        <v>1.0</v>
      </c>
      <c r="R192" s="545"/>
      <c r="S192" s="545">
        <v>1.0</v>
      </c>
      <c r="T192" s="545" t="str">
        <f t="shared" si="1"/>
        <v/>
      </c>
      <c r="U192" s="546"/>
      <c r="V192" s="546"/>
      <c r="W192" s="546"/>
      <c r="X192" s="546"/>
      <c r="Y192" s="546"/>
      <c r="Z192" s="546"/>
      <c r="AA192" s="546"/>
      <c r="AB192" s="546"/>
      <c r="AC192" s="546"/>
      <c r="AD192" s="546"/>
      <c r="AE192" s="546"/>
      <c r="AF192" s="546"/>
      <c r="AG192" s="546"/>
    </row>
    <row r="193">
      <c r="B193" s="660" t="s">
        <v>2008</v>
      </c>
      <c r="C193" s="551" t="s">
        <v>3920</v>
      </c>
      <c r="D193" s="661" t="s">
        <v>3769</v>
      </c>
      <c r="E193" s="662"/>
      <c r="F193" s="545">
        <v>555.0</v>
      </c>
      <c r="G193" s="545">
        <v>45.0</v>
      </c>
      <c r="H193" s="546"/>
      <c r="I193" s="545">
        <v>1.0</v>
      </c>
      <c r="J193" s="545">
        <v>1.0</v>
      </c>
      <c r="K193" s="545">
        <v>1.0</v>
      </c>
      <c r="L193" s="546"/>
      <c r="M193" s="546"/>
      <c r="N193" s="545">
        <v>1.0</v>
      </c>
      <c r="O193" s="546"/>
      <c r="P193" s="546"/>
      <c r="Q193" s="545">
        <v>1.0</v>
      </c>
      <c r="R193" s="545"/>
      <c r="S193" s="545"/>
      <c r="T193" s="545" t="str">
        <f t="shared" si="1"/>
        <v/>
      </c>
      <c r="U193" s="545">
        <v>1.0</v>
      </c>
      <c r="V193" s="546"/>
      <c r="W193" s="546"/>
      <c r="X193" s="546"/>
      <c r="Y193" s="546"/>
      <c r="Z193" s="546"/>
      <c r="AA193" s="546"/>
      <c r="AB193" s="546"/>
      <c r="AC193" s="546"/>
      <c r="AD193" s="546"/>
      <c r="AE193" s="546"/>
      <c r="AF193" s="546"/>
      <c r="AG193" s="546"/>
    </row>
    <row r="194">
      <c r="B194" s="660" t="s">
        <v>2003</v>
      </c>
      <c r="C194" s="551" t="s">
        <v>3922</v>
      </c>
      <c r="D194" s="661" t="s">
        <v>3759</v>
      </c>
      <c r="E194" s="662"/>
      <c r="F194" s="545">
        <v>678.0</v>
      </c>
      <c r="G194" s="545">
        <v>136.0</v>
      </c>
      <c r="H194" s="545">
        <v>1.0</v>
      </c>
      <c r="I194" s="546"/>
      <c r="J194" s="545">
        <v>1.0</v>
      </c>
      <c r="K194" s="545">
        <v>1.0</v>
      </c>
      <c r="L194" s="546"/>
      <c r="M194" s="546"/>
      <c r="N194" s="546"/>
      <c r="O194" s="546"/>
      <c r="P194" s="546"/>
      <c r="Q194" s="545">
        <v>1.0</v>
      </c>
      <c r="R194" s="545"/>
      <c r="S194" s="545">
        <v>1.0</v>
      </c>
      <c r="T194" s="545" t="str">
        <f t="shared" si="1"/>
        <v/>
      </c>
      <c r="U194" s="545">
        <v>1.0</v>
      </c>
      <c r="V194" s="546"/>
      <c r="W194" s="546"/>
      <c r="X194" s="546"/>
      <c r="Y194" s="546"/>
      <c r="Z194" s="546"/>
      <c r="AA194" s="546"/>
      <c r="AB194" s="546"/>
      <c r="AC194" s="546"/>
      <c r="AD194" s="546"/>
      <c r="AE194" s="546"/>
      <c r="AF194" s="546"/>
      <c r="AG194" s="546"/>
    </row>
    <row r="195">
      <c r="B195" s="660" t="s">
        <v>1997</v>
      </c>
      <c r="C195" s="551" t="s">
        <v>3925</v>
      </c>
      <c r="D195" s="661" t="s">
        <v>3923</v>
      </c>
      <c r="E195" s="662"/>
      <c r="F195" s="546"/>
      <c r="G195" s="546"/>
      <c r="H195" s="545">
        <v>1.0</v>
      </c>
      <c r="I195" s="545">
        <v>1.0</v>
      </c>
      <c r="J195" s="545">
        <v>1.0</v>
      </c>
      <c r="K195" s="546"/>
      <c r="L195" s="546"/>
      <c r="M195" s="546"/>
      <c r="N195" s="546"/>
      <c r="O195" s="546"/>
      <c r="P195" s="546"/>
      <c r="Q195" s="546"/>
      <c r="R195" s="545"/>
      <c r="S195" s="545"/>
      <c r="T195" s="545" t="str">
        <f t="shared" si="1"/>
        <v/>
      </c>
      <c r="U195" s="546"/>
      <c r="V195" s="546"/>
      <c r="W195" s="546"/>
      <c r="X195" s="546"/>
      <c r="Y195" s="546"/>
      <c r="Z195" s="546"/>
      <c r="AA195" s="546"/>
      <c r="AB195" s="546"/>
      <c r="AC195" s="546"/>
      <c r="AD195" s="546"/>
      <c r="AE195" s="546"/>
      <c r="AF195" s="546"/>
      <c r="AG195" s="546"/>
    </row>
    <row r="196">
      <c r="B196" s="660" t="s">
        <v>1987</v>
      </c>
      <c r="C196" s="551" t="s">
        <v>3927</v>
      </c>
      <c r="D196" s="661" t="s">
        <v>3926</v>
      </c>
      <c r="E196" s="662"/>
      <c r="F196" s="546"/>
      <c r="G196" s="546"/>
      <c r="H196" s="546"/>
      <c r="I196" s="546"/>
      <c r="J196" s="546"/>
      <c r="K196" s="545">
        <v>1.0</v>
      </c>
      <c r="L196" s="546"/>
      <c r="M196" s="545">
        <v>1.0</v>
      </c>
      <c r="N196" s="546"/>
      <c r="O196" s="546"/>
      <c r="P196" s="546"/>
      <c r="Q196" s="546"/>
      <c r="R196" s="545"/>
      <c r="S196" s="545"/>
      <c r="T196" s="545" t="str">
        <f t="shared" si="1"/>
        <v/>
      </c>
      <c r="U196" s="546"/>
      <c r="V196" s="546"/>
      <c r="W196" s="546"/>
      <c r="X196" s="546"/>
      <c r="Y196" s="546"/>
      <c r="Z196" s="546"/>
      <c r="AA196" s="546"/>
      <c r="AB196" s="546"/>
      <c r="AC196" s="546"/>
      <c r="AD196" s="546"/>
      <c r="AE196" s="546"/>
      <c r="AF196" s="546"/>
      <c r="AG196" s="546"/>
    </row>
    <row r="197">
      <c r="B197" s="660" t="s">
        <v>1982</v>
      </c>
      <c r="C197" s="551" t="s">
        <v>3931</v>
      </c>
      <c r="D197" s="661" t="s">
        <v>3928</v>
      </c>
      <c r="E197" s="663" t="s">
        <v>1263</v>
      </c>
      <c r="F197" s="545">
        <v>172.0</v>
      </c>
      <c r="G197" s="545">
        <v>115.0</v>
      </c>
      <c r="H197" s="546"/>
      <c r="I197" s="546"/>
      <c r="J197" s="545">
        <v>1.0</v>
      </c>
      <c r="K197" s="546"/>
      <c r="L197" s="546"/>
      <c r="M197" s="546"/>
      <c r="N197" s="546"/>
      <c r="O197" s="546"/>
      <c r="P197" s="546"/>
      <c r="Q197" s="545"/>
      <c r="R197" s="545"/>
      <c r="S197" s="545">
        <v>1.0</v>
      </c>
      <c r="T197" s="545" t="str">
        <f t="shared" si="1"/>
        <v/>
      </c>
      <c r="U197" s="546"/>
      <c r="V197" s="546"/>
      <c r="W197" s="546"/>
      <c r="X197" s="546"/>
      <c r="Y197" s="546"/>
      <c r="Z197" s="546"/>
      <c r="AA197" s="546"/>
      <c r="AB197" s="546"/>
      <c r="AC197" s="546"/>
      <c r="AD197" s="546"/>
      <c r="AE197" s="546"/>
      <c r="AF197" s="546"/>
      <c r="AG197" s="546"/>
    </row>
    <row r="198">
      <c r="B198" s="660" t="s">
        <v>1977</v>
      </c>
      <c r="C198" s="551" t="s">
        <v>3932</v>
      </c>
      <c r="D198" s="661" t="s">
        <v>3771</v>
      </c>
      <c r="E198" s="662"/>
      <c r="F198" s="545">
        <v>240.0</v>
      </c>
      <c r="G198" s="545">
        <v>16.0</v>
      </c>
      <c r="H198" s="546"/>
      <c r="I198" s="546"/>
      <c r="J198" s="546"/>
      <c r="K198" s="545">
        <v>1.0</v>
      </c>
      <c r="L198" s="546"/>
      <c r="M198" s="545">
        <v>1.0</v>
      </c>
      <c r="N198" s="545">
        <v>1.0</v>
      </c>
      <c r="O198" s="545">
        <v>1.0</v>
      </c>
      <c r="P198" s="546"/>
      <c r="Q198" s="545">
        <v>1.0</v>
      </c>
      <c r="R198" s="545"/>
      <c r="S198" s="545"/>
      <c r="T198" s="545" t="str">
        <f t="shared" si="1"/>
        <v/>
      </c>
      <c r="U198" s="546"/>
      <c r="V198" s="546"/>
      <c r="W198" s="546"/>
      <c r="X198" s="546"/>
      <c r="Y198" s="546"/>
      <c r="Z198" s="546"/>
      <c r="AA198" s="546"/>
      <c r="AB198" s="546"/>
      <c r="AC198" s="546"/>
      <c r="AD198" s="546"/>
      <c r="AE198" s="546"/>
      <c r="AF198" s="546"/>
      <c r="AG198" s="546"/>
    </row>
    <row r="199">
      <c r="A199" s="664" t="s">
        <v>2402</v>
      </c>
      <c r="B199" s="665" t="s">
        <v>2475</v>
      </c>
      <c r="C199" s="561" t="s">
        <v>3935</v>
      </c>
      <c r="D199" s="666" t="s">
        <v>3933</v>
      </c>
      <c r="E199" s="667" t="s">
        <v>3728</v>
      </c>
      <c r="F199" s="556">
        <v>677.0</v>
      </c>
      <c r="G199" s="556">
        <v>186.0</v>
      </c>
      <c r="H199" s="555"/>
      <c r="I199" s="555"/>
      <c r="J199" s="555"/>
      <c r="K199" s="555"/>
      <c r="L199" s="555"/>
      <c r="M199" s="555"/>
      <c r="N199" s="555"/>
      <c r="O199" s="555"/>
      <c r="P199" s="555"/>
      <c r="Q199" s="555"/>
      <c r="R199" s="556"/>
      <c r="S199" s="556"/>
      <c r="T199" s="556" t="str">
        <f t="shared" si="1"/>
        <v/>
      </c>
      <c r="U199" s="555"/>
      <c r="V199" s="555"/>
      <c r="W199" s="555"/>
      <c r="X199" s="555"/>
      <c r="Y199" s="555"/>
      <c r="Z199" s="555"/>
      <c r="AA199" s="555"/>
      <c r="AB199" s="555"/>
      <c r="AC199" s="555"/>
      <c r="AD199" s="555"/>
      <c r="AE199" s="555"/>
      <c r="AF199" s="555"/>
      <c r="AG199" s="555"/>
    </row>
    <row r="200">
      <c r="B200" s="665" t="s">
        <v>2469</v>
      </c>
      <c r="C200" s="561" t="s">
        <v>3937</v>
      </c>
      <c r="D200" s="666" t="s">
        <v>3936</v>
      </c>
      <c r="E200" s="667" t="s">
        <v>3728</v>
      </c>
      <c r="F200" s="556">
        <v>148.0</v>
      </c>
      <c r="G200" s="556">
        <v>74.0</v>
      </c>
      <c r="H200" s="555"/>
      <c r="I200" s="555"/>
      <c r="J200" s="555"/>
      <c r="K200" s="555"/>
      <c r="L200" s="555"/>
      <c r="M200" s="555"/>
      <c r="N200" s="555"/>
      <c r="O200" s="555"/>
      <c r="P200" s="555"/>
      <c r="Q200" s="555"/>
      <c r="R200" s="556"/>
      <c r="S200" s="556"/>
      <c r="T200" s="556" t="str">
        <f t="shared" si="1"/>
        <v/>
      </c>
      <c r="U200" s="555"/>
      <c r="V200" s="555"/>
      <c r="W200" s="555"/>
      <c r="X200" s="555"/>
      <c r="Y200" s="555"/>
      <c r="Z200" s="555"/>
      <c r="AA200" s="555"/>
      <c r="AB200" s="555"/>
      <c r="AC200" s="555"/>
      <c r="AD200" s="555"/>
      <c r="AE200" s="555"/>
      <c r="AF200" s="555"/>
      <c r="AG200" s="555"/>
    </row>
    <row r="201">
      <c r="B201" s="665" t="s">
        <v>2463</v>
      </c>
      <c r="C201" s="561" t="s">
        <v>3938</v>
      </c>
      <c r="D201" s="666" t="s">
        <v>3782</v>
      </c>
      <c r="E201" s="668"/>
      <c r="F201" s="556">
        <v>472.0</v>
      </c>
      <c r="G201" s="556">
        <v>151.0</v>
      </c>
      <c r="H201" s="556">
        <v>1.0</v>
      </c>
      <c r="I201" s="556">
        <v>1.0</v>
      </c>
      <c r="J201" s="556">
        <v>1.0</v>
      </c>
      <c r="K201" s="556">
        <v>1.0</v>
      </c>
      <c r="L201" s="555"/>
      <c r="M201" s="555"/>
      <c r="N201" s="556">
        <v>1.0</v>
      </c>
      <c r="O201" s="555"/>
      <c r="P201" s="555"/>
      <c r="Q201" s="556">
        <v>1.0</v>
      </c>
      <c r="R201" s="556"/>
      <c r="S201" s="556"/>
      <c r="T201" s="556" t="str">
        <f t="shared" si="1"/>
        <v/>
      </c>
      <c r="U201" s="555"/>
      <c r="V201" s="555"/>
      <c r="W201" s="555"/>
      <c r="X201" s="555"/>
      <c r="Y201" s="555"/>
      <c r="Z201" s="555"/>
      <c r="AA201" s="555"/>
      <c r="AB201" s="555"/>
      <c r="AC201" s="555"/>
      <c r="AD201" s="555"/>
      <c r="AE201" s="555"/>
      <c r="AF201" s="555"/>
      <c r="AG201" s="555"/>
    </row>
    <row r="202">
      <c r="B202" s="665" t="s">
        <v>2457</v>
      </c>
      <c r="C202" s="561" t="s">
        <v>3941</v>
      </c>
      <c r="D202" s="666" t="s">
        <v>3939</v>
      </c>
      <c r="E202" s="668"/>
      <c r="F202" s="556">
        <v>145.0</v>
      </c>
      <c r="G202" s="556">
        <v>115.0</v>
      </c>
      <c r="H202" s="555"/>
      <c r="I202" s="555"/>
      <c r="J202" s="556">
        <v>1.0</v>
      </c>
      <c r="K202" s="555"/>
      <c r="L202" s="555"/>
      <c r="M202" s="555"/>
      <c r="N202" s="556">
        <v>1.0</v>
      </c>
      <c r="O202" s="555"/>
      <c r="P202" s="555"/>
      <c r="Q202" s="556">
        <v>1.0</v>
      </c>
      <c r="R202" s="556"/>
      <c r="S202" s="556"/>
      <c r="T202" s="556" t="str">
        <f t="shared" si="1"/>
        <v/>
      </c>
      <c r="U202" s="555"/>
      <c r="V202" s="555"/>
      <c r="W202" s="555"/>
      <c r="X202" s="555"/>
      <c r="Y202" s="555"/>
      <c r="Z202" s="555"/>
      <c r="AA202" s="555"/>
      <c r="AB202" s="555"/>
      <c r="AC202" s="555"/>
      <c r="AD202" s="555"/>
      <c r="AE202" s="555"/>
      <c r="AF202" s="555"/>
      <c r="AG202" s="555"/>
    </row>
    <row r="203">
      <c r="B203" s="665" t="s">
        <v>2451</v>
      </c>
      <c r="C203" s="561" t="s">
        <v>3943</v>
      </c>
      <c r="D203" s="666" t="s">
        <v>3942</v>
      </c>
      <c r="E203" s="667" t="s">
        <v>3728</v>
      </c>
      <c r="F203" s="556">
        <v>710.0</v>
      </c>
      <c r="G203" s="556">
        <v>53.0</v>
      </c>
      <c r="H203" s="555"/>
      <c r="I203" s="555"/>
      <c r="J203" s="555"/>
      <c r="K203" s="555"/>
      <c r="L203" s="555"/>
      <c r="M203" s="555"/>
      <c r="N203" s="555"/>
      <c r="O203" s="555"/>
      <c r="P203" s="555"/>
      <c r="Q203" s="555"/>
      <c r="R203" s="556"/>
      <c r="S203" s="556"/>
      <c r="T203" s="556" t="str">
        <f t="shared" si="1"/>
        <v/>
      </c>
      <c r="U203" s="555"/>
      <c r="V203" s="555"/>
      <c r="W203" s="555"/>
      <c r="X203" s="555"/>
      <c r="Y203" s="555"/>
      <c r="Z203" s="555"/>
      <c r="AA203" s="555"/>
      <c r="AB203" s="555"/>
      <c r="AC203" s="555"/>
      <c r="AD203" s="555"/>
      <c r="AE203" s="555"/>
      <c r="AF203" s="555"/>
      <c r="AG203" s="555"/>
    </row>
    <row r="204">
      <c r="B204" s="665" t="s">
        <v>2442</v>
      </c>
      <c r="C204" s="561" t="s">
        <v>3945</v>
      </c>
      <c r="D204" s="666" t="s">
        <v>3944</v>
      </c>
      <c r="E204" s="667" t="s">
        <v>3728</v>
      </c>
      <c r="F204" s="556">
        <v>439.0</v>
      </c>
      <c r="G204" s="556">
        <v>4.0</v>
      </c>
      <c r="H204" s="555"/>
      <c r="I204" s="555"/>
      <c r="J204" s="555"/>
      <c r="K204" s="555"/>
      <c r="L204" s="555"/>
      <c r="M204" s="555"/>
      <c r="N204" s="555"/>
      <c r="O204" s="555"/>
      <c r="P204" s="555"/>
      <c r="Q204" s="555"/>
      <c r="R204" s="556"/>
      <c r="S204" s="556"/>
      <c r="T204" s="556" t="str">
        <f t="shared" si="1"/>
        <v/>
      </c>
      <c r="U204" s="555"/>
      <c r="V204" s="555"/>
      <c r="W204" s="555"/>
      <c r="X204" s="555"/>
      <c r="Y204" s="555"/>
      <c r="Z204" s="555"/>
      <c r="AA204" s="555"/>
      <c r="AB204" s="555"/>
      <c r="AC204" s="555"/>
      <c r="AD204" s="555"/>
      <c r="AE204" s="555"/>
      <c r="AF204" s="555"/>
      <c r="AG204" s="555"/>
    </row>
    <row r="205">
      <c r="B205" s="665" t="s">
        <v>2436</v>
      </c>
      <c r="C205" s="561" t="s">
        <v>3948</v>
      </c>
      <c r="D205" s="666" t="s">
        <v>3946</v>
      </c>
      <c r="E205" s="667" t="s">
        <v>1263</v>
      </c>
      <c r="F205" s="556">
        <v>531.0</v>
      </c>
      <c r="G205" s="556">
        <v>47.0</v>
      </c>
      <c r="H205" s="556">
        <v>1.0</v>
      </c>
      <c r="I205" s="555"/>
      <c r="J205" s="556">
        <v>1.0</v>
      </c>
      <c r="K205" s="556">
        <v>1.0</v>
      </c>
      <c r="L205" s="555"/>
      <c r="M205" s="555"/>
      <c r="N205" s="555"/>
      <c r="O205" s="555"/>
      <c r="P205" s="555"/>
      <c r="Q205" s="555"/>
      <c r="R205" s="556"/>
      <c r="S205" s="556">
        <v>1.0</v>
      </c>
      <c r="T205" s="556" t="str">
        <f t="shared" si="1"/>
        <v/>
      </c>
      <c r="U205" s="555"/>
      <c r="V205" s="555"/>
      <c r="W205" s="555"/>
      <c r="X205" s="555"/>
      <c r="Y205" s="555"/>
      <c r="Z205" s="555"/>
      <c r="AA205" s="555"/>
      <c r="AB205" s="555"/>
      <c r="AC205" s="555"/>
      <c r="AD205" s="555"/>
      <c r="AE205" s="555"/>
      <c r="AF205" s="555"/>
      <c r="AG205" s="555"/>
    </row>
    <row r="206">
      <c r="B206" s="665" t="s">
        <v>2430</v>
      </c>
      <c r="C206" s="561" t="s">
        <v>3951</v>
      </c>
      <c r="D206" s="666" t="s">
        <v>3949</v>
      </c>
      <c r="E206" s="667" t="s">
        <v>1263</v>
      </c>
      <c r="F206" s="556">
        <v>374.0</v>
      </c>
      <c r="G206" s="556">
        <v>203.0</v>
      </c>
      <c r="H206" s="556">
        <v>1.0</v>
      </c>
      <c r="I206" s="555"/>
      <c r="J206" s="556">
        <v>1.0</v>
      </c>
      <c r="K206" s="555"/>
      <c r="L206" s="556">
        <v>1.0</v>
      </c>
      <c r="M206" s="555"/>
      <c r="N206" s="555"/>
      <c r="O206" s="555"/>
      <c r="P206" s="555"/>
      <c r="Q206" s="555"/>
      <c r="R206" s="556"/>
      <c r="S206" s="556"/>
      <c r="T206" s="556" t="str">
        <f t="shared" si="1"/>
        <v/>
      </c>
      <c r="U206" s="555"/>
      <c r="V206" s="555"/>
      <c r="W206" s="555"/>
      <c r="X206" s="555"/>
      <c r="Y206" s="555"/>
      <c r="Z206" s="555"/>
      <c r="AA206" s="555"/>
      <c r="AB206" s="555"/>
      <c r="AC206" s="555"/>
      <c r="AD206" s="555"/>
      <c r="AE206" s="555"/>
      <c r="AF206" s="555"/>
      <c r="AG206" s="555"/>
    </row>
    <row r="207">
      <c r="B207" s="665" t="s">
        <v>2422</v>
      </c>
      <c r="C207" s="561" t="s">
        <v>3953</v>
      </c>
      <c r="D207" s="666" t="s">
        <v>3952</v>
      </c>
      <c r="E207" s="667" t="s">
        <v>3728</v>
      </c>
      <c r="F207" s="556">
        <v>271.0</v>
      </c>
      <c r="G207" s="556">
        <v>309.0</v>
      </c>
      <c r="H207" s="555"/>
      <c r="I207" s="555"/>
      <c r="J207" s="555"/>
      <c r="K207" s="555"/>
      <c r="L207" s="555"/>
      <c r="M207" s="555"/>
      <c r="N207" s="555"/>
      <c r="O207" s="555"/>
      <c r="P207" s="555"/>
      <c r="Q207" s="555"/>
      <c r="R207" s="556"/>
      <c r="S207" s="556"/>
      <c r="T207" s="556" t="str">
        <f t="shared" si="1"/>
        <v/>
      </c>
      <c r="U207" s="555"/>
      <c r="V207" s="555"/>
      <c r="W207" s="555"/>
      <c r="X207" s="555"/>
      <c r="Y207" s="555"/>
      <c r="Z207" s="555"/>
      <c r="AA207" s="555"/>
      <c r="AB207" s="555"/>
      <c r="AC207" s="555"/>
      <c r="AD207" s="555"/>
      <c r="AE207" s="555"/>
      <c r="AF207" s="555"/>
      <c r="AG207" s="555"/>
    </row>
    <row r="208">
      <c r="B208" s="665" t="s">
        <v>2415</v>
      </c>
      <c r="C208" s="561" t="s">
        <v>3955</v>
      </c>
      <c r="D208" s="666" t="s">
        <v>3954</v>
      </c>
      <c r="E208" s="667" t="s">
        <v>3728</v>
      </c>
      <c r="F208" s="556">
        <v>318.0</v>
      </c>
      <c r="G208" s="556">
        <v>254.0</v>
      </c>
      <c r="H208" s="555"/>
      <c r="I208" s="555"/>
      <c r="J208" s="555"/>
      <c r="K208" s="555"/>
      <c r="L208" s="555"/>
      <c r="M208" s="555"/>
      <c r="N208" s="555"/>
      <c r="O208" s="555"/>
      <c r="P208" s="555"/>
      <c r="Q208" s="555"/>
      <c r="R208" s="556"/>
      <c r="S208" s="556"/>
      <c r="T208" s="556" t="str">
        <f t="shared" si="1"/>
        <v/>
      </c>
      <c r="U208" s="555"/>
      <c r="V208" s="555"/>
      <c r="W208" s="555"/>
      <c r="X208" s="555"/>
      <c r="Y208" s="555"/>
      <c r="Z208" s="555"/>
      <c r="AA208" s="555"/>
      <c r="AB208" s="555"/>
      <c r="AC208" s="555"/>
      <c r="AD208" s="555"/>
      <c r="AE208" s="555"/>
      <c r="AF208" s="555"/>
      <c r="AG208" s="555"/>
    </row>
    <row r="209">
      <c r="B209" s="665" t="s">
        <v>2409</v>
      </c>
      <c r="C209" s="561" t="s">
        <v>3956</v>
      </c>
      <c r="D209" s="666" t="s">
        <v>91</v>
      </c>
      <c r="E209" s="668"/>
      <c r="F209" s="556">
        <v>17.0</v>
      </c>
      <c r="G209" s="556">
        <v>27.0</v>
      </c>
      <c r="H209" s="555"/>
      <c r="I209" s="555"/>
      <c r="J209" s="556">
        <v>1.0</v>
      </c>
      <c r="K209" s="555"/>
      <c r="L209" s="555"/>
      <c r="M209" s="555"/>
      <c r="N209" s="556">
        <v>1.0</v>
      </c>
      <c r="O209" s="555"/>
      <c r="P209" s="555"/>
      <c r="Q209" s="556">
        <v>1.0</v>
      </c>
      <c r="R209" s="556"/>
      <c r="S209" s="556"/>
      <c r="T209" s="556" t="str">
        <f t="shared" si="1"/>
        <v/>
      </c>
      <c r="U209" s="555"/>
      <c r="V209" s="555"/>
      <c r="W209" s="555"/>
      <c r="X209" s="555"/>
      <c r="Y209" s="555"/>
      <c r="Z209" s="555"/>
      <c r="AA209" s="555"/>
      <c r="AB209" s="555"/>
      <c r="AC209" s="555"/>
      <c r="AD209" s="555"/>
      <c r="AE209" s="555"/>
      <c r="AF209" s="555"/>
      <c r="AG209" s="555"/>
    </row>
    <row r="210">
      <c r="B210" s="665" t="s">
        <v>2403</v>
      </c>
      <c r="C210" s="561" t="s">
        <v>3958</v>
      </c>
      <c r="D210" s="666" t="s">
        <v>3795</v>
      </c>
      <c r="E210" s="667" t="s">
        <v>1263</v>
      </c>
      <c r="F210" s="556">
        <v>144.0</v>
      </c>
      <c r="G210" s="556">
        <v>123.0</v>
      </c>
      <c r="H210" s="555"/>
      <c r="I210" s="555"/>
      <c r="J210" s="556">
        <v>1.0</v>
      </c>
      <c r="K210" s="555"/>
      <c r="L210" s="556"/>
      <c r="M210" s="556">
        <v>1.0</v>
      </c>
      <c r="N210" s="555"/>
      <c r="O210" s="555"/>
      <c r="P210" s="555"/>
      <c r="Q210" s="556">
        <v>1.0</v>
      </c>
      <c r="R210" s="556">
        <v>1.0</v>
      </c>
      <c r="S210" s="556"/>
      <c r="T210" s="556" t="str">
        <f t="shared" si="1"/>
        <v/>
      </c>
      <c r="U210" s="555"/>
      <c r="V210" s="555"/>
      <c r="W210" s="555"/>
      <c r="X210" s="555"/>
      <c r="Y210" s="555"/>
      <c r="Z210" s="555"/>
      <c r="AA210" s="555"/>
      <c r="AB210" s="555"/>
      <c r="AC210" s="555"/>
      <c r="AD210" s="555"/>
      <c r="AE210" s="555"/>
      <c r="AF210" s="555"/>
      <c r="AG210" s="555"/>
    </row>
    <row r="211">
      <c r="A211" s="669" t="s">
        <v>2345</v>
      </c>
      <c r="B211" s="670" t="s">
        <v>2396</v>
      </c>
      <c r="C211" s="568" t="s">
        <v>3959</v>
      </c>
      <c r="D211" s="671" t="s">
        <v>3762</v>
      </c>
      <c r="E211" s="672"/>
      <c r="F211" s="438">
        <v>676.0</v>
      </c>
      <c r="G211" s="438">
        <v>52.0</v>
      </c>
      <c r="H211" s="438">
        <v>1.0</v>
      </c>
      <c r="I211" s="564"/>
      <c r="J211" s="564"/>
      <c r="K211" s="438">
        <v>1.0</v>
      </c>
      <c r="L211" s="438"/>
      <c r="M211" s="564"/>
      <c r="N211" s="438">
        <v>1.0</v>
      </c>
      <c r="O211" s="438">
        <v>1.0</v>
      </c>
      <c r="P211" s="438">
        <v>1.0</v>
      </c>
      <c r="Q211" s="438">
        <v>1.0</v>
      </c>
      <c r="R211" s="438"/>
      <c r="S211" s="438"/>
      <c r="T211" s="438" t="str">
        <f t="shared" si="1"/>
        <v/>
      </c>
      <c r="U211" s="564"/>
      <c r="V211" s="564"/>
      <c r="W211" s="564"/>
      <c r="X211" s="564"/>
      <c r="Y211" s="564"/>
      <c r="Z211" s="564"/>
      <c r="AA211" s="564"/>
      <c r="AB211" s="564"/>
      <c r="AC211" s="564"/>
      <c r="AD211" s="564"/>
      <c r="AE211" s="564"/>
      <c r="AF211" s="564"/>
      <c r="AG211" s="564"/>
    </row>
    <row r="212">
      <c r="B212" s="670" t="s">
        <v>2390</v>
      </c>
      <c r="C212" s="568" t="s">
        <v>3961</v>
      </c>
      <c r="D212" s="671" t="s">
        <v>3881</v>
      </c>
      <c r="E212" s="673" t="s">
        <v>1263</v>
      </c>
      <c r="F212" s="438">
        <v>1183.0</v>
      </c>
      <c r="G212" s="438">
        <v>87.0</v>
      </c>
      <c r="H212" s="438">
        <v>1.0</v>
      </c>
      <c r="I212" s="438"/>
      <c r="J212" s="438">
        <v>1.0</v>
      </c>
      <c r="K212" s="438">
        <v>1.0</v>
      </c>
      <c r="L212" s="438">
        <v>1.0</v>
      </c>
      <c r="M212" s="564"/>
      <c r="N212" s="564"/>
      <c r="O212" s="564"/>
      <c r="P212" s="564"/>
      <c r="Q212" s="564"/>
      <c r="R212" s="438"/>
      <c r="S212" s="438"/>
      <c r="T212" s="438" t="str">
        <f t="shared" si="1"/>
        <v/>
      </c>
      <c r="U212" s="564"/>
      <c r="V212" s="564"/>
      <c r="W212" s="564"/>
      <c r="X212" s="564"/>
      <c r="Y212" s="564"/>
      <c r="Z212" s="564"/>
      <c r="AA212" s="564"/>
      <c r="AB212" s="564"/>
      <c r="AC212" s="564"/>
      <c r="AD212" s="564"/>
      <c r="AE212" s="564"/>
      <c r="AF212" s="564"/>
      <c r="AG212" s="564"/>
    </row>
    <row r="213">
      <c r="B213" s="670" t="s">
        <v>2382</v>
      </c>
      <c r="C213" s="568" t="s">
        <v>3963</v>
      </c>
      <c r="D213" s="671" t="s">
        <v>3962</v>
      </c>
      <c r="E213" s="673" t="s">
        <v>3728</v>
      </c>
      <c r="F213" s="438">
        <v>338.0</v>
      </c>
      <c r="G213" s="438">
        <v>2.0</v>
      </c>
      <c r="H213" s="564"/>
      <c r="I213" s="564"/>
      <c r="J213" s="564"/>
      <c r="K213" s="564"/>
      <c r="L213" s="564"/>
      <c r="M213" s="564"/>
      <c r="N213" s="564"/>
      <c r="O213" s="564"/>
      <c r="P213" s="564"/>
      <c r="Q213" s="564"/>
      <c r="R213" s="438"/>
      <c r="S213" s="438"/>
      <c r="T213" s="438" t="str">
        <f t="shared" si="1"/>
        <v/>
      </c>
      <c r="U213" s="564"/>
      <c r="V213" s="564"/>
      <c r="W213" s="564"/>
      <c r="X213" s="564"/>
      <c r="Y213" s="564"/>
      <c r="Z213" s="564"/>
      <c r="AA213" s="564"/>
      <c r="AB213" s="564"/>
      <c r="AC213" s="564"/>
      <c r="AD213" s="564"/>
      <c r="AE213" s="564"/>
      <c r="AF213" s="564"/>
      <c r="AG213" s="564"/>
    </row>
    <row r="214">
      <c r="B214" s="670" t="s">
        <v>2376</v>
      </c>
      <c r="C214" s="568" t="s">
        <v>3965</v>
      </c>
      <c r="D214" s="671" t="s">
        <v>3964</v>
      </c>
      <c r="E214" s="673" t="s">
        <v>3728</v>
      </c>
      <c r="F214" s="438">
        <v>317.0</v>
      </c>
      <c r="G214" s="438">
        <v>150.0</v>
      </c>
      <c r="H214" s="564"/>
      <c r="I214" s="564"/>
      <c r="J214" s="564"/>
      <c r="K214" s="564"/>
      <c r="L214" s="564"/>
      <c r="M214" s="564"/>
      <c r="N214" s="564"/>
      <c r="O214" s="564"/>
      <c r="P214" s="564"/>
      <c r="Q214" s="564"/>
      <c r="R214" s="438"/>
      <c r="S214" s="438"/>
      <c r="T214" s="438" t="str">
        <f t="shared" si="1"/>
        <v/>
      </c>
      <c r="U214" s="564"/>
      <c r="V214" s="564"/>
      <c r="W214" s="564"/>
      <c r="X214" s="564"/>
      <c r="Y214" s="564"/>
      <c r="Z214" s="564"/>
      <c r="AA214" s="564"/>
      <c r="AB214" s="564"/>
      <c r="AC214" s="564"/>
      <c r="AD214" s="564"/>
      <c r="AE214" s="564"/>
      <c r="AF214" s="564"/>
      <c r="AG214" s="564"/>
    </row>
    <row r="215">
      <c r="B215" s="670" t="s">
        <v>2370</v>
      </c>
      <c r="C215" s="568" t="s">
        <v>3967</v>
      </c>
      <c r="D215" s="671" t="s">
        <v>3966</v>
      </c>
      <c r="E215" s="672"/>
      <c r="F215" s="438">
        <v>282098.0</v>
      </c>
      <c r="G215" s="438">
        <v>20771.0</v>
      </c>
      <c r="H215" s="564"/>
      <c r="I215" s="564"/>
      <c r="J215" s="564"/>
      <c r="K215" s="564"/>
      <c r="L215" s="564"/>
      <c r="M215" s="564"/>
      <c r="N215" s="564"/>
      <c r="O215" s="564"/>
      <c r="P215" s="438">
        <v>1.0</v>
      </c>
      <c r="Q215" s="438">
        <v>1.0</v>
      </c>
      <c r="R215" s="438"/>
      <c r="S215" s="438">
        <v>1.0</v>
      </c>
      <c r="T215" s="438" t="str">
        <f t="shared" si="1"/>
        <v/>
      </c>
      <c r="U215" s="438">
        <v>1.0</v>
      </c>
      <c r="V215" s="570"/>
      <c r="W215" s="564"/>
      <c r="X215" s="564"/>
      <c r="Y215" s="564"/>
      <c r="Z215" s="564"/>
      <c r="AA215" s="564"/>
      <c r="AB215" s="564"/>
      <c r="AC215" s="564"/>
      <c r="AD215" s="564"/>
      <c r="AE215" s="564"/>
      <c r="AF215" s="564"/>
      <c r="AG215" s="564"/>
    </row>
    <row r="216">
      <c r="B216" s="670" t="s">
        <v>2363</v>
      </c>
      <c r="C216" s="568" t="s">
        <v>3969</v>
      </c>
      <c r="D216" s="671" t="s">
        <v>3968</v>
      </c>
      <c r="E216" s="673" t="s">
        <v>3728</v>
      </c>
      <c r="F216" s="438">
        <v>333.0</v>
      </c>
      <c r="G216" s="438">
        <v>177.0</v>
      </c>
      <c r="H216" s="564"/>
      <c r="I216" s="564"/>
      <c r="J216" s="564"/>
      <c r="K216" s="564"/>
      <c r="L216" s="564"/>
      <c r="M216" s="564"/>
      <c r="N216" s="564"/>
      <c r="O216" s="564"/>
      <c r="P216" s="564"/>
      <c r="Q216" s="564"/>
      <c r="R216" s="438"/>
      <c r="S216" s="438"/>
      <c r="T216" s="438" t="str">
        <f t="shared" si="1"/>
        <v/>
      </c>
      <c r="U216" s="564"/>
      <c r="V216" s="564"/>
      <c r="W216" s="564"/>
      <c r="X216" s="564"/>
      <c r="Y216" s="564"/>
      <c r="Z216" s="564"/>
      <c r="AA216" s="564"/>
      <c r="AB216" s="564"/>
      <c r="AC216" s="564"/>
      <c r="AD216" s="564"/>
      <c r="AE216" s="564"/>
      <c r="AF216" s="564"/>
      <c r="AG216" s="564"/>
    </row>
    <row r="217">
      <c r="B217" s="670" t="s">
        <v>2357</v>
      </c>
      <c r="C217" s="568" t="s">
        <v>3971</v>
      </c>
      <c r="D217" s="671" t="s">
        <v>3970</v>
      </c>
      <c r="E217" s="673" t="s">
        <v>3728</v>
      </c>
      <c r="F217" s="438">
        <v>260.0</v>
      </c>
      <c r="G217" s="438">
        <v>68.0</v>
      </c>
      <c r="H217" s="564"/>
      <c r="I217" s="564"/>
      <c r="J217" s="564"/>
      <c r="K217" s="564"/>
      <c r="L217" s="564"/>
      <c r="M217" s="564"/>
      <c r="N217" s="564"/>
      <c r="O217" s="564"/>
      <c r="P217" s="564"/>
      <c r="Q217" s="564"/>
      <c r="R217" s="438"/>
      <c r="S217" s="438"/>
      <c r="T217" s="438" t="str">
        <f t="shared" si="1"/>
        <v/>
      </c>
      <c r="U217" s="564"/>
      <c r="V217" s="564"/>
      <c r="W217" s="564"/>
      <c r="X217" s="564"/>
      <c r="Y217" s="564"/>
      <c r="Z217" s="564"/>
      <c r="AA217" s="564"/>
      <c r="AB217" s="564"/>
      <c r="AC217" s="564"/>
      <c r="AD217" s="564"/>
      <c r="AE217" s="564"/>
      <c r="AF217" s="564"/>
      <c r="AG217" s="564"/>
    </row>
    <row r="218">
      <c r="B218" s="670" t="s">
        <v>2340</v>
      </c>
      <c r="C218" s="568" t="s">
        <v>3972</v>
      </c>
      <c r="D218" s="671" t="s">
        <v>642</v>
      </c>
      <c r="E218" s="672"/>
      <c r="F218" s="438">
        <v>33.0</v>
      </c>
      <c r="G218" s="438">
        <v>36.0</v>
      </c>
      <c r="H218" s="564"/>
      <c r="I218" s="564"/>
      <c r="J218" s="564"/>
      <c r="K218" s="438">
        <v>1.0</v>
      </c>
      <c r="L218" s="438">
        <v>1.0</v>
      </c>
      <c r="M218" s="564"/>
      <c r="N218" s="438">
        <v>1.0</v>
      </c>
      <c r="O218" s="564"/>
      <c r="P218" s="564"/>
      <c r="Q218" s="438">
        <v>1.0</v>
      </c>
      <c r="R218" s="438">
        <v>1.0</v>
      </c>
      <c r="S218" s="438"/>
      <c r="T218" s="438" t="str">
        <f t="shared" si="1"/>
        <v/>
      </c>
      <c r="U218" s="564"/>
      <c r="V218" s="564"/>
      <c r="W218" s="564"/>
      <c r="X218" s="564"/>
      <c r="Y218" s="564"/>
      <c r="Z218" s="564"/>
      <c r="AA218" s="564"/>
      <c r="AB218" s="564"/>
      <c r="AC218" s="564"/>
      <c r="AD218" s="564"/>
      <c r="AE218" s="564"/>
      <c r="AF218" s="564"/>
      <c r="AG218" s="564"/>
    </row>
    <row r="219">
      <c r="B219" s="670" t="s">
        <v>2335</v>
      </c>
      <c r="C219" s="568" t="s">
        <v>3974</v>
      </c>
      <c r="D219" s="671" t="s">
        <v>3973</v>
      </c>
      <c r="E219" s="672"/>
      <c r="F219" s="438">
        <v>174.0</v>
      </c>
      <c r="G219" s="438">
        <v>133.0</v>
      </c>
      <c r="H219" s="438">
        <v>1.0</v>
      </c>
      <c r="I219" s="438"/>
      <c r="J219" s="438">
        <v>1.0</v>
      </c>
      <c r="K219" s="564"/>
      <c r="L219" s="438">
        <v>1.0</v>
      </c>
      <c r="M219" s="564"/>
      <c r="N219" s="438">
        <v>1.0</v>
      </c>
      <c r="O219" s="564"/>
      <c r="P219" s="564"/>
      <c r="Q219" s="564"/>
      <c r="R219" s="438"/>
      <c r="S219" s="438"/>
      <c r="T219" s="438" t="str">
        <f t="shared" si="1"/>
        <v/>
      </c>
      <c r="U219" s="564"/>
      <c r="V219" s="564"/>
      <c r="W219" s="564"/>
      <c r="X219" s="564"/>
      <c r="Y219" s="564"/>
      <c r="Z219" s="564"/>
      <c r="AA219" s="564"/>
      <c r="AB219" s="564"/>
      <c r="AC219" s="564"/>
      <c r="AD219" s="564"/>
      <c r="AE219" s="564"/>
      <c r="AF219" s="564"/>
      <c r="AG219" s="564"/>
    </row>
    <row r="220">
      <c r="A220" s="674" t="s">
        <v>2590</v>
      </c>
      <c r="B220" s="675" t="s">
        <v>2728</v>
      </c>
      <c r="C220" s="578" t="s">
        <v>3976</v>
      </c>
      <c r="D220" s="676" t="s">
        <v>3975</v>
      </c>
      <c r="E220" s="677"/>
      <c r="F220" s="574">
        <v>120.0</v>
      </c>
      <c r="G220" s="574">
        <v>117.0</v>
      </c>
      <c r="H220" s="574">
        <v>1.0</v>
      </c>
      <c r="I220" s="573"/>
      <c r="J220" s="573"/>
      <c r="K220" s="574">
        <v>1.0</v>
      </c>
      <c r="L220" s="574">
        <v>1.0</v>
      </c>
      <c r="M220" s="573"/>
      <c r="N220" s="573"/>
      <c r="O220" s="573"/>
      <c r="P220" s="573"/>
      <c r="Q220" s="574">
        <v>1.0</v>
      </c>
      <c r="R220" s="574">
        <v>1.0</v>
      </c>
      <c r="S220" s="574"/>
      <c r="T220" s="574" t="str">
        <f t="shared" si="1"/>
        <v/>
      </c>
      <c r="U220" s="573"/>
      <c r="V220" s="573"/>
      <c r="W220" s="573"/>
      <c r="X220" s="573"/>
      <c r="Y220" s="573"/>
      <c r="Z220" s="573"/>
      <c r="AA220" s="573"/>
      <c r="AB220" s="573"/>
      <c r="AC220" s="573"/>
      <c r="AD220" s="573"/>
      <c r="AE220" s="573"/>
      <c r="AF220" s="573"/>
      <c r="AG220" s="573"/>
    </row>
    <row r="221">
      <c r="B221" s="675" t="s">
        <v>2722</v>
      </c>
      <c r="C221" s="578" t="s">
        <v>3978</v>
      </c>
      <c r="D221" s="676" t="s">
        <v>3977</v>
      </c>
      <c r="E221" s="678" t="s">
        <v>3728</v>
      </c>
      <c r="F221" s="574">
        <v>259.0</v>
      </c>
      <c r="G221" s="574">
        <v>178.0</v>
      </c>
      <c r="H221" s="573"/>
      <c r="I221" s="573"/>
      <c r="J221" s="573"/>
      <c r="K221" s="573"/>
      <c r="L221" s="573"/>
      <c r="M221" s="573"/>
      <c r="N221" s="573"/>
      <c r="O221" s="573"/>
      <c r="P221" s="573"/>
      <c r="Q221" s="573"/>
      <c r="R221" s="574"/>
      <c r="S221" s="574"/>
      <c r="T221" s="574" t="str">
        <f t="shared" si="1"/>
        <v/>
      </c>
      <c r="U221" s="573"/>
      <c r="V221" s="573"/>
      <c r="W221" s="573"/>
      <c r="X221" s="573"/>
      <c r="Y221" s="573"/>
      <c r="Z221" s="573"/>
      <c r="AA221" s="573"/>
      <c r="AB221" s="573"/>
      <c r="AC221" s="573"/>
      <c r="AD221" s="573"/>
      <c r="AE221" s="573"/>
      <c r="AF221" s="573"/>
      <c r="AG221" s="573"/>
    </row>
    <row r="222">
      <c r="B222" s="675" t="s">
        <v>2716</v>
      </c>
      <c r="C222" s="578" t="s">
        <v>3980</v>
      </c>
      <c r="D222" s="676" t="s">
        <v>3979</v>
      </c>
      <c r="E222" s="678" t="s">
        <v>3728</v>
      </c>
      <c r="F222" s="574">
        <v>1.0</v>
      </c>
      <c r="G222" s="574">
        <v>247.0</v>
      </c>
      <c r="H222" s="573"/>
      <c r="I222" s="573"/>
      <c r="J222" s="573"/>
      <c r="K222" s="573"/>
      <c r="L222" s="573"/>
      <c r="M222" s="573"/>
      <c r="N222" s="573"/>
      <c r="O222" s="573"/>
      <c r="P222" s="573"/>
      <c r="Q222" s="573"/>
      <c r="R222" s="574"/>
      <c r="S222" s="574"/>
      <c r="T222" s="574" t="str">
        <f t="shared" si="1"/>
        <v/>
      </c>
      <c r="U222" s="574">
        <v>1.0</v>
      </c>
      <c r="V222" s="579"/>
      <c r="W222" s="573"/>
      <c r="X222" s="573"/>
      <c r="Y222" s="573"/>
      <c r="Z222" s="573"/>
      <c r="AA222" s="573"/>
      <c r="AB222" s="573"/>
      <c r="AC222" s="573"/>
      <c r="AD222" s="573"/>
      <c r="AE222" s="573"/>
      <c r="AF222" s="573"/>
      <c r="AG222" s="573"/>
    </row>
    <row r="223">
      <c r="B223" s="675" t="s">
        <v>2710</v>
      </c>
      <c r="C223" s="578" t="s">
        <v>3983</v>
      </c>
      <c r="D223" s="676" t="s">
        <v>3981</v>
      </c>
      <c r="E223" s="678" t="s">
        <v>1263</v>
      </c>
      <c r="F223" s="574">
        <v>335.0</v>
      </c>
      <c r="G223" s="574">
        <v>42.0</v>
      </c>
      <c r="H223" s="574">
        <v>1.0</v>
      </c>
      <c r="I223" s="573"/>
      <c r="J223" s="574">
        <v>1.0</v>
      </c>
      <c r="K223" s="573"/>
      <c r="L223" s="573"/>
      <c r="M223" s="573"/>
      <c r="N223" s="573"/>
      <c r="O223" s="573"/>
      <c r="P223" s="573"/>
      <c r="Q223" s="573"/>
      <c r="R223" s="574"/>
      <c r="S223" s="574"/>
      <c r="T223" s="574" t="str">
        <f t="shared" si="1"/>
        <v/>
      </c>
      <c r="U223" s="573"/>
      <c r="V223" s="573"/>
      <c r="W223" s="573"/>
      <c r="X223" s="573"/>
      <c r="Y223" s="573"/>
      <c r="Z223" s="573"/>
      <c r="AA223" s="573"/>
      <c r="AB223" s="573"/>
      <c r="AC223" s="573"/>
      <c r="AD223" s="573"/>
      <c r="AE223" s="573"/>
      <c r="AF223" s="573"/>
      <c r="AG223" s="573"/>
    </row>
    <row r="224">
      <c r="B224" s="675" t="s">
        <v>2704</v>
      </c>
      <c r="C224" s="578" t="s">
        <v>3986</v>
      </c>
      <c r="D224" s="676" t="s">
        <v>3984</v>
      </c>
      <c r="E224" s="678" t="s">
        <v>1263</v>
      </c>
      <c r="F224" s="574">
        <v>491.0</v>
      </c>
      <c r="G224" s="574">
        <v>28.0</v>
      </c>
      <c r="H224" s="574">
        <v>1.0</v>
      </c>
      <c r="I224" s="573"/>
      <c r="J224" s="574">
        <v>1.0</v>
      </c>
      <c r="K224" s="574">
        <v>1.0</v>
      </c>
      <c r="L224" s="573"/>
      <c r="M224" s="573"/>
      <c r="N224" s="573"/>
      <c r="O224" s="574">
        <v>1.0</v>
      </c>
      <c r="P224" s="573"/>
      <c r="Q224" s="574">
        <v>1.0</v>
      </c>
      <c r="R224" s="574"/>
      <c r="S224" s="574"/>
      <c r="T224" s="574" t="str">
        <f t="shared" si="1"/>
        <v/>
      </c>
      <c r="U224" s="573"/>
      <c r="V224" s="573"/>
      <c r="W224" s="573"/>
      <c r="X224" s="573"/>
      <c r="Y224" s="573"/>
      <c r="Z224" s="573"/>
      <c r="AA224" s="573"/>
      <c r="AB224" s="573"/>
      <c r="AC224" s="573"/>
      <c r="AD224" s="573"/>
      <c r="AE224" s="573"/>
      <c r="AF224" s="573"/>
      <c r="AG224" s="573"/>
    </row>
    <row r="225">
      <c r="B225" s="675" t="s">
        <v>2698</v>
      </c>
      <c r="C225" s="578" t="s">
        <v>3988</v>
      </c>
      <c r="D225" s="676" t="s">
        <v>3987</v>
      </c>
      <c r="E225" s="678" t="s">
        <v>3728</v>
      </c>
      <c r="F225" s="574">
        <v>838.0</v>
      </c>
      <c r="G225" s="574">
        <v>149.0</v>
      </c>
      <c r="H225" s="573"/>
      <c r="I225" s="573"/>
      <c r="J225" s="573"/>
      <c r="K225" s="573"/>
      <c r="L225" s="573"/>
      <c r="M225" s="573"/>
      <c r="N225" s="573"/>
      <c r="O225" s="573"/>
      <c r="P225" s="573"/>
      <c r="Q225" s="573"/>
      <c r="R225" s="574"/>
      <c r="S225" s="574"/>
      <c r="T225" s="574" t="str">
        <f t="shared" si="1"/>
        <v/>
      </c>
      <c r="U225" s="573"/>
      <c r="V225" s="573"/>
      <c r="W225" s="573"/>
      <c r="X225" s="573"/>
      <c r="Y225" s="573"/>
      <c r="Z225" s="573"/>
      <c r="AA225" s="573"/>
      <c r="AB225" s="573"/>
      <c r="AC225" s="573"/>
      <c r="AD225" s="573"/>
      <c r="AE225" s="573"/>
      <c r="AF225" s="573"/>
      <c r="AG225" s="573"/>
    </row>
    <row r="226">
      <c r="B226" s="675" t="s">
        <v>2692</v>
      </c>
      <c r="C226" s="578" t="s">
        <v>3990</v>
      </c>
      <c r="D226" s="676" t="s">
        <v>3989</v>
      </c>
      <c r="E226" s="678" t="s">
        <v>1263</v>
      </c>
      <c r="F226" s="574">
        <v>423.0</v>
      </c>
      <c r="G226" s="574">
        <v>138.0</v>
      </c>
      <c r="H226" s="574">
        <v>1.0</v>
      </c>
      <c r="I226" s="573"/>
      <c r="J226" s="574">
        <v>1.0</v>
      </c>
      <c r="K226" s="573"/>
      <c r="L226" s="573"/>
      <c r="M226" s="573"/>
      <c r="N226" s="573"/>
      <c r="O226" s="573"/>
      <c r="P226" s="573"/>
      <c r="Q226" s="573"/>
      <c r="R226" s="574"/>
      <c r="S226" s="574"/>
      <c r="T226" s="574" t="str">
        <f t="shared" si="1"/>
        <v/>
      </c>
      <c r="U226" s="573"/>
      <c r="V226" s="573"/>
      <c r="W226" s="573"/>
      <c r="X226" s="573"/>
      <c r="Y226" s="573"/>
      <c r="Z226" s="573"/>
      <c r="AA226" s="573"/>
      <c r="AB226" s="573"/>
      <c r="AC226" s="573"/>
      <c r="AD226" s="573"/>
      <c r="AE226" s="573"/>
      <c r="AF226" s="573"/>
      <c r="AG226" s="573"/>
    </row>
    <row r="227">
      <c r="B227" s="675" t="s">
        <v>2686</v>
      </c>
      <c r="C227" s="578" t="s">
        <v>3992</v>
      </c>
      <c r="D227" s="676" t="s">
        <v>3991</v>
      </c>
      <c r="E227" s="678" t="s">
        <v>3728</v>
      </c>
      <c r="F227" s="574">
        <v>418.0</v>
      </c>
      <c r="G227" s="574">
        <v>134.0</v>
      </c>
      <c r="H227" s="573"/>
      <c r="I227" s="573"/>
      <c r="J227" s="573"/>
      <c r="K227" s="573"/>
      <c r="L227" s="573"/>
      <c r="M227" s="573"/>
      <c r="N227" s="573"/>
      <c r="O227" s="573"/>
      <c r="P227" s="573"/>
      <c r="Q227" s="573"/>
      <c r="R227" s="574"/>
      <c r="S227" s="574"/>
      <c r="T227" s="574" t="str">
        <f t="shared" si="1"/>
        <v/>
      </c>
      <c r="U227" s="573"/>
      <c r="V227" s="573"/>
      <c r="W227" s="573"/>
      <c r="X227" s="573"/>
      <c r="Y227" s="573"/>
      <c r="Z227" s="573"/>
      <c r="AA227" s="573"/>
      <c r="AB227" s="573"/>
      <c r="AC227" s="573"/>
      <c r="AD227" s="573"/>
      <c r="AE227" s="573"/>
      <c r="AF227" s="573"/>
      <c r="AG227" s="573"/>
    </row>
    <row r="228">
      <c r="B228" s="675" t="s">
        <v>2680</v>
      </c>
      <c r="C228" s="578" t="s">
        <v>3994</v>
      </c>
      <c r="D228" s="676" t="s">
        <v>3993</v>
      </c>
      <c r="E228" s="677"/>
      <c r="F228" s="574">
        <v>571.0</v>
      </c>
      <c r="G228" s="574">
        <v>312.0</v>
      </c>
      <c r="H228" s="573"/>
      <c r="I228" s="573"/>
      <c r="J228" s="574">
        <v>1.0</v>
      </c>
      <c r="K228" s="573"/>
      <c r="L228" s="573"/>
      <c r="M228" s="573"/>
      <c r="N228" s="574">
        <v>1.0</v>
      </c>
      <c r="O228" s="573"/>
      <c r="P228" s="573"/>
      <c r="Q228" s="573"/>
      <c r="R228" s="574"/>
      <c r="S228" s="574"/>
      <c r="T228" s="574" t="str">
        <f t="shared" si="1"/>
        <v/>
      </c>
      <c r="U228" s="573"/>
      <c r="V228" s="573"/>
      <c r="W228" s="573"/>
      <c r="X228" s="573"/>
      <c r="Y228" s="573"/>
      <c r="Z228" s="573"/>
      <c r="AA228" s="573"/>
      <c r="AB228" s="573"/>
      <c r="AC228" s="573"/>
      <c r="AD228" s="573"/>
      <c r="AE228" s="573"/>
      <c r="AF228" s="573"/>
      <c r="AG228" s="573"/>
    </row>
    <row r="229">
      <c r="B229" s="675" t="s">
        <v>2675</v>
      </c>
      <c r="C229" s="578" t="s">
        <v>3996</v>
      </c>
      <c r="D229" s="676" t="s">
        <v>3995</v>
      </c>
      <c r="E229" s="677"/>
      <c r="F229" s="574">
        <v>183.0</v>
      </c>
      <c r="G229" s="574">
        <v>169.0</v>
      </c>
      <c r="H229" s="573"/>
      <c r="I229" s="573"/>
      <c r="J229" s="574">
        <v>1.0</v>
      </c>
      <c r="K229" s="573"/>
      <c r="L229" s="573"/>
      <c r="M229" s="573"/>
      <c r="N229" s="574">
        <v>1.0</v>
      </c>
      <c r="O229" s="573"/>
      <c r="P229" s="573"/>
      <c r="Q229" s="574">
        <v>1.0</v>
      </c>
      <c r="R229" s="574"/>
      <c r="S229" s="574">
        <v>1.0</v>
      </c>
      <c r="T229" s="574" t="str">
        <f t="shared" si="1"/>
        <v/>
      </c>
      <c r="U229" s="573"/>
      <c r="V229" s="573"/>
      <c r="W229" s="573"/>
      <c r="X229" s="573"/>
      <c r="Y229" s="573"/>
      <c r="Z229" s="573"/>
      <c r="AA229" s="573"/>
      <c r="AB229" s="573"/>
      <c r="AC229" s="573"/>
      <c r="AD229" s="573"/>
      <c r="AE229" s="573"/>
      <c r="AF229" s="573"/>
      <c r="AG229" s="573"/>
    </row>
    <row r="230">
      <c r="B230" s="675" t="s">
        <v>2669</v>
      </c>
      <c r="C230" s="578" t="s">
        <v>3998</v>
      </c>
      <c r="D230" s="676" t="s">
        <v>3997</v>
      </c>
      <c r="E230" s="677"/>
      <c r="F230" s="574">
        <v>106.0</v>
      </c>
      <c r="G230" s="574">
        <v>118.0</v>
      </c>
      <c r="H230" s="574">
        <v>1.0</v>
      </c>
      <c r="I230" s="573"/>
      <c r="J230" s="574">
        <v>1.0</v>
      </c>
      <c r="K230" s="573"/>
      <c r="L230" s="573"/>
      <c r="M230" s="573"/>
      <c r="N230" s="574">
        <v>1.0</v>
      </c>
      <c r="O230" s="573"/>
      <c r="P230" s="573"/>
      <c r="Q230" s="574">
        <v>1.0</v>
      </c>
      <c r="R230" s="574"/>
      <c r="S230" s="574"/>
      <c r="T230" s="574" t="str">
        <f t="shared" si="1"/>
        <v/>
      </c>
      <c r="U230" s="573"/>
      <c r="V230" s="573"/>
      <c r="W230" s="573"/>
      <c r="X230" s="573"/>
      <c r="Y230" s="573"/>
      <c r="Z230" s="573"/>
      <c r="AA230" s="573"/>
      <c r="AB230" s="573"/>
      <c r="AC230" s="573"/>
      <c r="AD230" s="573"/>
      <c r="AE230" s="573"/>
      <c r="AF230" s="573"/>
      <c r="AG230" s="573"/>
    </row>
    <row r="231">
      <c r="B231" s="675" t="s">
        <v>2663</v>
      </c>
      <c r="C231" s="578" t="s">
        <v>4000</v>
      </c>
      <c r="D231" s="676" t="s">
        <v>3999</v>
      </c>
      <c r="E231" s="677"/>
      <c r="F231" s="574">
        <v>79.0</v>
      </c>
      <c r="G231" s="574">
        <v>71.0</v>
      </c>
      <c r="H231" s="574">
        <v>1.0</v>
      </c>
      <c r="I231" s="573"/>
      <c r="J231" s="573"/>
      <c r="K231" s="574">
        <v>1.0</v>
      </c>
      <c r="L231" s="574">
        <v>1.0</v>
      </c>
      <c r="M231" s="573"/>
      <c r="N231" s="574">
        <v>1.0</v>
      </c>
      <c r="O231" s="573"/>
      <c r="P231" s="573"/>
      <c r="Q231" s="574">
        <v>1.0</v>
      </c>
      <c r="R231" s="574"/>
      <c r="S231" s="574"/>
      <c r="T231" s="574" t="str">
        <f t="shared" si="1"/>
        <v/>
      </c>
      <c r="U231" s="573"/>
      <c r="V231" s="573"/>
      <c r="W231" s="573"/>
      <c r="X231" s="573"/>
      <c r="Y231" s="573"/>
      <c r="Z231" s="573"/>
      <c r="AA231" s="573"/>
      <c r="AB231" s="573"/>
      <c r="AC231" s="573"/>
      <c r="AD231" s="573"/>
      <c r="AE231" s="573"/>
      <c r="AF231" s="573"/>
      <c r="AG231" s="573"/>
    </row>
    <row r="232">
      <c r="B232" s="675" t="s">
        <v>2657</v>
      </c>
      <c r="C232" s="578" t="s">
        <v>4002</v>
      </c>
      <c r="D232" s="676" t="s">
        <v>4001</v>
      </c>
      <c r="E232" s="677"/>
      <c r="F232" s="574">
        <v>104.0</v>
      </c>
      <c r="G232" s="574">
        <v>212.0</v>
      </c>
      <c r="H232" s="573"/>
      <c r="I232" s="573"/>
      <c r="J232" s="574">
        <v>1.0</v>
      </c>
      <c r="K232" s="573"/>
      <c r="L232" s="573"/>
      <c r="M232" s="573"/>
      <c r="N232" s="573"/>
      <c r="O232" s="573"/>
      <c r="P232" s="573"/>
      <c r="Q232" s="574">
        <v>1.0</v>
      </c>
      <c r="R232" s="574"/>
      <c r="S232" s="574"/>
      <c r="T232" s="574" t="str">
        <f t="shared" si="1"/>
        <v/>
      </c>
      <c r="U232" s="573"/>
      <c r="V232" s="573"/>
      <c r="W232" s="573"/>
      <c r="X232" s="573"/>
      <c r="Y232" s="573"/>
      <c r="Z232" s="573"/>
      <c r="AA232" s="573"/>
      <c r="AB232" s="573"/>
      <c r="AC232" s="573"/>
      <c r="AD232" s="573"/>
      <c r="AE232" s="573"/>
      <c r="AF232" s="573"/>
      <c r="AG232" s="573"/>
    </row>
    <row r="233">
      <c r="B233" s="675" t="s">
        <v>2651</v>
      </c>
      <c r="C233" s="578" t="s">
        <v>4004</v>
      </c>
      <c r="D233" s="676" t="s">
        <v>4003</v>
      </c>
      <c r="E233" s="677"/>
      <c r="F233" s="574">
        <v>350.0</v>
      </c>
      <c r="G233" s="574">
        <v>313.0</v>
      </c>
      <c r="H233" s="574">
        <v>1.0</v>
      </c>
      <c r="I233" s="573"/>
      <c r="J233" s="574">
        <v>1.0</v>
      </c>
      <c r="K233" s="574">
        <v>1.0</v>
      </c>
      <c r="L233" s="574">
        <v>1.0</v>
      </c>
      <c r="M233" s="573"/>
      <c r="N233" s="573"/>
      <c r="O233" s="574">
        <v>1.0</v>
      </c>
      <c r="P233" s="573"/>
      <c r="Q233" s="574">
        <v>1.0</v>
      </c>
      <c r="R233" s="574"/>
      <c r="S233" s="574"/>
      <c r="T233" s="574" t="str">
        <f t="shared" si="1"/>
        <v/>
      </c>
      <c r="U233" s="573"/>
      <c r="V233" s="573"/>
      <c r="W233" s="573"/>
      <c r="X233" s="573"/>
      <c r="Y233" s="573"/>
      <c r="Z233" s="573"/>
      <c r="AA233" s="573"/>
      <c r="AB233" s="573"/>
      <c r="AC233" s="573"/>
      <c r="AD233" s="573"/>
      <c r="AE233" s="573"/>
      <c r="AF233" s="573"/>
      <c r="AG233" s="573"/>
    </row>
    <row r="234">
      <c r="B234" s="675" t="s">
        <v>2643</v>
      </c>
      <c r="C234" s="578" t="s">
        <v>4006</v>
      </c>
      <c r="D234" s="676" t="s">
        <v>4005</v>
      </c>
      <c r="E234" s="678" t="s">
        <v>3728</v>
      </c>
      <c r="F234" s="574">
        <v>133.0</v>
      </c>
      <c r="G234" s="574">
        <v>37.0</v>
      </c>
      <c r="H234" s="573"/>
      <c r="I234" s="573"/>
      <c r="J234" s="573"/>
      <c r="K234" s="573"/>
      <c r="L234" s="573"/>
      <c r="M234" s="573"/>
      <c r="N234" s="573"/>
      <c r="O234" s="573"/>
      <c r="P234" s="573"/>
      <c r="Q234" s="573"/>
      <c r="R234" s="574"/>
      <c r="S234" s="574"/>
      <c r="T234" s="574" t="str">
        <f t="shared" si="1"/>
        <v/>
      </c>
      <c r="U234" s="573"/>
      <c r="V234" s="573"/>
      <c r="W234" s="573"/>
      <c r="X234" s="573"/>
      <c r="Y234" s="573"/>
      <c r="Z234" s="573"/>
      <c r="AA234" s="573"/>
      <c r="AB234" s="573"/>
      <c r="AC234" s="573"/>
      <c r="AD234" s="573"/>
      <c r="AE234" s="573"/>
      <c r="AF234" s="573"/>
      <c r="AG234" s="573"/>
    </row>
    <row r="235">
      <c r="B235" s="675" t="s">
        <v>2637</v>
      </c>
      <c r="C235" s="578" t="s">
        <v>4008</v>
      </c>
      <c r="D235" s="676" t="s">
        <v>4007</v>
      </c>
      <c r="E235" s="678" t="s">
        <v>3728</v>
      </c>
      <c r="F235" s="574">
        <v>238.0</v>
      </c>
      <c r="G235" s="574">
        <v>109.0</v>
      </c>
      <c r="H235" s="573"/>
      <c r="I235" s="573"/>
      <c r="J235" s="573"/>
      <c r="K235" s="573"/>
      <c r="L235" s="573"/>
      <c r="M235" s="573"/>
      <c r="N235" s="573"/>
      <c r="O235" s="573"/>
      <c r="P235" s="573"/>
      <c r="Q235" s="573"/>
      <c r="R235" s="574"/>
      <c r="S235" s="574"/>
      <c r="T235" s="574" t="str">
        <f t="shared" si="1"/>
        <v/>
      </c>
      <c r="U235" s="573"/>
      <c r="V235" s="573"/>
      <c r="W235" s="573"/>
      <c r="X235" s="573"/>
      <c r="Y235" s="573"/>
      <c r="Z235" s="573"/>
      <c r="AA235" s="573"/>
      <c r="AB235" s="573"/>
      <c r="AC235" s="573"/>
      <c r="AD235" s="573"/>
      <c r="AE235" s="573"/>
      <c r="AF235" s="573"/>
      <c r="AG235" s="573"/>
    </row>
    <row r="236">
      <c r="B236" s="675" t="s">
        <v>2631</v>
      </c>
      <c r="C236" s="578" t="s">
        <v>4010</v>
      </c>
      <c r="D236" s="676" t="s">
        <v>4009</v>
      </c>
      <c r="E236" s="677"/>
      <c r="F236" s="574">
        <v>329.0</v>
      </c>
      <c r="G236" s="574">
        <v>124.0</v>
      </c>
      <c r="H236" s="573"/>
      <c r="I236" s="573"/>
      <c r="J236" s="574">
        <v>1.0</v>
      </c>
      <c r="K236" s="574">
        <v>1.0</v>
      </c>
      <c r="L236" s="573"/>
      <c r="M236" s="573"/>
      <c r="N236" s="574">
        <v>1.0</v>
      </c>
      <c r="O236" s="573"/>
      <c r="P236" s="573"/>
      <c r="Q236" s="574">
        <v>1.0</v>
      </c>
      <c r="R236" s="574"/>
      <c r="S236" s="574"/>
      <c r="T236" s="574" t="str">
        <f t="shared" si="1"/>
        <v/>
      </c>
      <c r="U236" s="573"/>
      <c r="V236" s="573"/>
      <c r="W236" s="573"/>
      <c r="X236" s="573"/>
      <c r="Y236" s="573"/>
      <c r="Z236" s="573"/>
      <c r="AA236" s="573"/>
      <c r="AB236" s="573"/>
      <c r="AC236" s="573"/>
      <c r="AD236" s="573"/>
      <c r="AE236" s="573"/>
      <c r="AF236" s="573"/>
      <c r="AG236" s="573"/>
    </row>
    <row r="237">
      <c r="B237" s="675" t="s">
        <v>2625</v>
      </c>
      <c r="C237" s="578" t="s">
        <v>4012</v>
      </c>
      <c r="D237" s="676" t="s">
        <v>4011</v>
      </c>
      <c r="E237" s="677"/>
      <c r="F237" s="574">
        <v>393.0</v>
      </c>
      <c r="G237" s="574">
        <v>239.0</v>
      </c>
      <c r="H237" s="573"/>
      <c r="I237" s="573"/>
      <c r="J237" s="573"/>
      <c r="K237" s="573"/>
      <c r="L237" s="573"/>
      <c r="M237" s="573"/>
      <c r="N237" s="573"/>
      <c r="O237" s="573"/>
      <c r="P237" s="573"/>
      <c r="Q237" s="573"/>
      <c r="R237" s="574"/>
      <c r="S237" s="574">
        <v>1.0</v>
      </c>
      <c r="T237" s="574" t="str">
        <f t="shared" si="1"/>
        <v/>
      </c>
      <c r="U237" s="573"/>
      <c r="V237" s="573"/>
      <c r="W237" s="573"/>
      <c r="X237" s="573"/>
      <c r="Y237" s="573"/>
      <c r="Z237" s="573"/>
      <c r="AA237" s="573"/>
      <c r="AB237" s="573"/>
      <c r="AC237" s="573"/>
      <c r="AD237" s="573"/>
      <c r="AE237" s="573"/>
      <c r="AF237" s="573"/>
      <c r="AG237" s="573"/>
    </row>
    <row r="238">
      <c r="B238" s="675" t="s">
        <v>2619</v>
      </c>
      <c r="C238" s="578" t="s">
        <v>4014</v>
      </c>
      <c r="D238" s="676" t="s">
        <v>4013</v>
      </c>
      <c r="E238" s="677"/>
      <c r="F238" s="574">
        <v>142.0</v>
      </c>
      <c r="G238" s="574">
        <v>148.0</v>
      </c>
      <c r="H238" s="573"/>
      <c r="I238" s="573"/>
      <c r="J238" s="574">
        <v>1.0</v>
      </c>
      <c r="K238" s="573"/>
      <c r="L238" s="573"/>
      <c r="M238" s="574">
        <v>1.0</v>
      </c>
      <c r="N238" s="574">
        <v>1.0</v>
      </c>
      <c r="O238" s="573"/>
      <c r="P238" s="573"/>
      <c r="Q238" s="574">
        <v>1.0</v>
      </c>
      <c r="R238" s="574"/>
      <c r="S238" s="574"/>
      <c r="T238" s="574" t="str">
        <f t="shared" si="1"/>
        <v/>
      </c>
      <c r="U238" s="573"/>
      <c r="V238" s="573"/>
      <c r="W238" s="573"/>
      <c r="X238" s="573"/>
      <c r="Y238" s="573"/>
      <c r="Z238" s="573"/>
      <c r="AA238" s="573"/>
      <c r="AB238" s="573"/>
      <c r="AC238" s="573"/>
      <c r="AD238" s="573"/>
      <c r="AE238" s="573"/>
      <c r="AF238" s="573"/>
      <c r="AG238" s="573"/>
    </row>
    <row r="239">
      <c r="B239" s="675" t="s">
        <v>2613</v>
      </c>
      <c r="C239" s="578" t="s">
        <v>4016</v>
      </c>
      <c r="D239" s="676" t="s">
        <v>4015</v>
      </c>
      <c r="E239" s="677"/>
      <c r="F239" s="574">
        <v>222.0</v>
      </c>
      <c r="G239" s="574">
        <v>224.0</v>
      </c>
      <c r="H239" s="574">
        <v>1.0</v>
      </c>
      <c r="I239" s="574">
        <v>1.0</v>
      </c>
      <c r="J239" s="574">
        <v>1.0</v>
      </c>
      <c r="K239" s="574">
        <v>1.0</v>
      </c>
      <c r="L239" s="574">
        <v>1.0</v>
      </c>
      <c r="M239" s="573"/>
      <c r="N239" s="573"/>
      <c r="O239" s="573"/>
      <c r="P239" s="573"/>
      <c r="Q239" s="573"/>
      <c r="R239" s="574"/>
      <c r="S239" s="574"/>
      <c r="T239" s="574" t="str">
        <f t="shared" si="1"/>
        <v/>
      </c>
      <c r="U239" s="573"/>
      <c r="V239" s="573"/>
      <c r="W239" s="573"/>
      <c r="X239" s="573"/>
      <c r="Y239" s="573"/>
      <c r="Z239" s="573"/>
      <c r="AA239" s="573"/>
      <c r="AB239" s="573"/>
      <c r="AC239" s="573"/>
      <c r="AD239" s="573"/>
      <c r="AE239" s="573"/>
      <c r="AF239" s="573"/>
      <c r="AG239" s="573"/>
    </row>
    <row r="240">
      <c r="B240" s="675" t="s">
        <v>2607</v>
      </c>
      <c r="C240" s="578" t="s">
        <v>4018</v>
      </c>
      <c r="D240" s="676" t="s">
        <v>4017</v>
      </c>
      <c r="E240" s="677"/>
      <c r="F240" s="574">
        <v>203.0</v>
      </c>
      <c r="G240" s="574">
        <v>190.0</v>
      </c>
      <c r="H240" s="573"/>
      <c r="I240" s="573"/>
      <c r="J240" s="573"/>
      <c r="K240" s="574">
        <v>1.0</v>
      </c>
      <c r="L240" s="573"/>
      <c r="M240" s="573"/>
      <c r="N240" s="574">
        <v>1.0</v>
      </c>
      <c r="O240" s="573"/>
      <c r="P240" s="573"/>
      <c r="Q240" s="574">
        <v>1.0</v>
      </c>
      <c r="R240" s="574"/>
      <c r="S240" s="574"/>
      <c r="T240" s="574" t="str">
        <f t="shared" si="1"/>
        <v/>
      </c>
      <c r="U240" s="573"/>
      <c r="V240" s="573"/>
      <c r="W240" s="573"/>
      <c r="X240" s="573"/>
      <c r="Y240" s="573"/>
      <c r="Z240" s="573"/>
      <c r="AA240" s="573"/>
      <c r="AB240" s="573"/>
      <c r="AC240" s="573"/>
      <c r="AD240" s="573"/>
      <c r="AE240" s="573"/>
      <c r="AF240" s="573"/>
      <c r="AG240" s="573"/>
    </row>
    <row r="241">
      <c r="B241" s="675" t="s">
        <v>2601</v>
      </c>
      <c r="C241" s="578" t="s">
        <v>4020</v>
      </c>
      <c r="D241" s="676" t="s">
        <v>4019</v>
      </c>
      <c r="E241" s="677"/>
      <c r="F241" s="574">
        <v>1073.0</v>
      </c>
      <c r="G241" s="574">
        <v>165.0</v>
      </c>
      <c r="H241" s="574">
        <v>1.0</v>
      </c>
      <c r="I241" s="573"/>
      <c r="J241" s="574">
        <v>1.0</v>
      </c>
      <c r="K241" s="574">
        <v>1.0</v>
      </c>
      <c r="L241" s="573"/>
      <c r="M241" s="573"/>
      <c r="N241" s="573"/>
      <c r="O241" s="573"/>
      <c r="P241" s="573"/>
      <c r="Q241" s="574">
        <v>1.0</v>
      </c>
      <c r="R241" s="574"/>
      <c r="S241" s="574">
        <v>1.0</v>
      </c>
      <c r="T241" s="574" t="str">
        <f t="shared" si="1"/>
        <v/>
      </c>
      <c r="U241" s="574">
        <v>1.0</v>
      </c>
      <c r="V241" s="579"/>
      <c r="W241" s="573"/>
      <c r="X241" s="573"/>
      <c r="Y241" s="573"/>
      <c r="Z241" s="573"/>
      <c r="AA241" s="573"/>
      <c r="AB241" s="573"/>
      <c r="AC241" s="573"/>
      <c r="AD241" s="573"/>
      <c r="AE241" s="573"/>
      <c r="AF241" s="573"/>
      <c r="AG241" s="573"/>
    </row>
    <row r="242">
      <c r="B242" s="675" t="s">
        <v>2596</v>
      </c>
      <c r="C242" s="578" t="s">
        <v>4023</v>
      </c>
      <c r="D242" s="676" t="s">
        <v>4021</v>
      </c>
      <c r="E242" s="677"/>
      <c r="F242" s="574">
        <v>189.0</v>
      </c>
      <c r="G242" s="574">
        <v>4.0</v>
      </c>
      <c r="H242" s="574">
        <v>1.0</v>
      </c>
      <c r="I242" s="573"/>
      <c r="J242" s="574">
        <v>1.0</v>
      </c>
      <c r="K242" s="574">
        <v>1.0</v>
      </c>
      <c r="L242" s="573"/>
      <c r="M242" s="573"/>
      <c r="N242" s="573"/>
      <c r="O242" s="573"/>
      <c r="P242" s="573"/>
      <c r="Q242" s="574">
        <v>1.0</v>
      </c>
      <c r="R242" s="574"/>
      <c r="S242" s="574"/>
      <c r="T242" s="574" t="str">
        <f t="shared" si="1"/>
        <v/>
      </c>
      <c r="U242" s="573"/>
      <c r="V242" s="573"/>
      <c r="W242" s="573"/>
      <c r="X242" s="573"/>
      <c r="Y242" s="573"/>
      <c r="Z242" s="573"/>
      <c r="AA242" s="573"/>
      <c r="AB242" s="573"/>
      <c r="AC242" s="573"/>
      <c r="AD242" s="573"/>
      <c r="AE242" s="573"/>
      <c r="AF242" s="573"/>
      <c r="AG242" s="573"/>
    </row>
    <row r="243">
      <c r="B243" s="675" t="s">
        <v>2591</v>
      </c>
      <c r="C243" s="578" t="s">
        <v>4024</v>
      </c>
      <c r="D243" s="676" t="s">
        <v>3888</v>
      </c>
      <c r="E243" s="677"/>
      <c r="F243" s="574">
        <v>197.0</v>
      </c>
      <c r="G243" s="574">
        <v>36.0</v>
      </c>
      <c r="H243" s="574">
        <v>1.0</v>
      </c>
      <c r="I243" s="573"/>
      <c r="J243" s="574">
        <v>1.0</v>
      </c>
      <c r="K243" s="574">
        <v>1.0</v>
      </c>
      <c r="L243" s="573"/>
      <c r="M243" s="573"/>
      <c r="N243" s="573"/>
      <c r="O243" s="573"/>
      <c r="P243" s="573"/>
      <c r="Q243" s="574">
        <v>1.0</v>
      </c>
      <c r="R243" s="574"/>
      <c r="S243" s="574"/>
      <c r="T243" s="574" t="str">
        <f t="shared" si="1"/>
        <v/>
      </c>
      <c r="U243" s="574">
        <v>1.0</v>
      </c>
      <c r="V243" s="579"/>
      <c r="W243" s="573"/>
      <c r="X243" s="573"/>
      <c r="Y243" s="573"/>
      <c r="Z243" s="573"/>
      <c r="AA243" s="573"/>
      <c r="AB243" s="573"/>
      <c r="AC243" s="573"/>
      <c r="AD243" s="573"/>
      <c r="AE243" s="573"/>
      <c r="AF243" s="573"/>
      <c r="AG243" s="573"/>
    </row>
    <row r="244">
      <c r="A244" s="659" t="s">
        <v>2481</v>
      </c>
      <c r="B244" s="660" t="s">
        <v>2577</v>
      </c>
      <c r="C244" s="551" t="s">
        <v>4025</v>
      </c>
      <c r="D244" s="661" t="s">
        <v>2578</v>
      </c>
      <c r="E244" s="662"/>
      <c r="F244" s="545">
        <v>808.0</v>
      </c>
      <c r="G244" s="545">
        <v>101.0</v>
      </c>
      <c r="H244" s="546"/>
      <c r="I244" s="546"/>
      <c r="J244" s="545">
        <v>1.0</v>
      </c>
      <c r="K244" s="545"/>
      <c r="L244" s="546"/>
      <c r="M244" s="546"/>
      <c r="N244" s="545">
        <v>1.0</v>
      </c>
      <c r="O244" s="546"/>
      <c r="P244" s="546"/>
      <c r="Q244" s="545">
        <v>1.0</v>
      </c>
      <c r="R244" s="545"/>
      <c r="S244" s="545"/>
      <c r="T244" s="545" t="str">
        <f t="shared" si="1"/>
        <v/>
      </c>
      <c r="U244" s="546"/>
      <c r="V244" s="546"/>
      <c r="W244" s="546"/>
      <c r="X244" s="546"/>
      <c r="Y244" s="546"/>
      <c r="Z244" s="546"/>
      <c r="AA244" s="546"/>
      <c r="AB244" s="546"/>
      <c r="AC244" s="546"/>
      <c r="AD244" s="546"/>
      <c r="AE244" s="546"/>
      <c r="AF244" s="546"/>
      <c r="AG244" s="546"/>
    </row>
    <row r="245">
      <c r="B245" s="660" t="s">
        <v>2571</v>
      </c>
      <c r="C245" s="551" t="s">
        <v>4026</v>
      </c>
      <c r="D245" s="661" t="s">
        <v>2572</v>
      </c>
      <c r="E245" s="663" t="s">
        <v>3728</v>
      </c>
      <c r="F245" s="545">
        <v>1157.0</v>
      </c>
      <c r="G245" s="545">
        <v>112.0</v>
      </c>
      <c r="H245" s="546"/>
      <c r="I245" s="546"/>
      <c r="J245" s="546"/>
      <c r="K245" s="546"/>
      <c r="L245" s="546"/>
      <c r="M245" s="546"/>
      <c r="N245" s="546"/>
      <c r="O245" s="546"/>
      <c r="P245" s="546"/>
      <c r="Q245" s="546"/>
      <c r="R245" s="545"/>
      <c r="S245" s="545"/>
      <c r="T245" s="545" t="str">
        <f t="shared" si="1"/>
        <v/>
      </c>
      <c r="U245" s="546"/>
      <c r="V245" s="546"/>
      <c r="W245" s="546"/>
      <c r="X245" s="546"/>
      <c r="Y245" s="546"/>
      <c r="Z245" s="546"/>
      <c r="AA245" s="546"/>
      <c r="AB245" s="546"/>
      <c r="AC245" s="546"/>
      <c r="AD245" s="546"/>
      <c r="AE245" s="546"/>
      <c r="AF245" s="546"/>
      <c r="AG245" s="546"/>
    </row>
    <row r="246">
      <c r="B246" s="660" t="s">
        <v>2564</v>
      </c>
      <c r="C246" s="551" t="s">
        <v>4027</v>
      </c>
      <c r="D246" s="661" t="s">
        <v>2565</v>
      </c>
      <c r="E246" s="662"/>
      <c r="F246" s="545">
        <v>554.0</v>
      </c>
      <c r="G246" s="545">
        <v>18.0</v>
      </c>
      <c r="H246" s="545">
        <v>1.0</v>
      </c>
      <c r="I246" s="546"/>
      <c r="J246" s="545">
        <v>1.0</v>
      </c>
      <c r="K246" s="545">
        <v>1.0</v>
      </c>
      <c r="L246" s="546"/>
      <c r="M246" s="546"/>
      <c r="N246" s="545">
        <v>1.0</v>
      </c>
      <c r="O246" s="545">
        <v>1.0</v>
      </c>
      <c r="P246" s="546"/>
      <c r="Q246" s="545">
        <v>1.0</v>
      </c>
      <c r="R246" s="545"/>
      <c r="S246" s="545"/>
      <c r="T246" s="545" t="str">
        <f t="shared" si="1"/>
        <v/>
      </c>
      <c r="U246" s="545">
        <v>1.0</v>
      </c>
      <c r="V246" s="546"/>
      <c r="W246" s="546"/>
      <c r="X246" s="546"/>
      <c r="Y246" s="546"/>
      <c r="Z246" s="546"/>
      <c r="AA246" s="546"/>
      <c r="AB246" s="546"/>
      <c r="AC246" s="546"/>
      <c r="AD246" s="546"/>
      <c r="AE246" s="546"/>
      <c r="AF246" s="546"/>
      <c r="AG246" s="546"/>
    </row>
    <row r="247">
      <c r="B247" s="660" t="s">
        <v>2557</v>
      </c>
      <c r="C247" s="551" t="s">
        <v>4028</v>
      </c>
      <c r="D247" s="661" t="s">
        <v>2558</v>
      </c>
      <c r="E247" s="662"/>
      <c r="F247" s="545">
        <v>2623.0</v>
      </c>
      <c r="G247" s="545">
        <v>4242.0</v>
      </c>
      <c r="H247" s="545">
        <v>1.0</v>
      </c>
      <c r="I247" s="545">
        <v>1.0</v>
      </c>
      <c r="J247" s="545">
        <v>1.0</v>
      </c>
      <c r="K247" s="545">
        <v>1.0</v>
      </c>
      <c r="L247" s="546"/>
      <c r="M247" s="546"/>
      <c r="N247" s="545">
        <v>1.0</v>
      </c>
      <c r="O247" s="546"/>
      <c r="P247" s="545">
        <v>1.0</v>
      </c>
      <c r="Q247" s="545">
        <v>1.0</v>
      </c>
      <c r="R247" s="545"/>
      <c r="S247" s="545">
        <v>1.0</v>
      </c>
      <c r="T247" s="545" t="str">
        <f t="shared" si="1"/>
        <v/>
      </c>
      <c r="U247" s="545">
        <v>1.0</v>
      </c>
      <c r="V247" s="546"/>
      <c r="W247" s="546"/>
      <c r="X247" s="546"/>
      <c r="Y247" s="546"/>
      <c r="Z247" s="546"/>
      <c r="AA247" s="546"/>
      <c r="AB247" s="546"/>
      <c r="AC247" s="546"/>
      <c r="AD247" s="546"/>
      <c r="AE247" s="546"/>
      <c r="AF247" s="546"/>
      <c r="AG247" s="546"/>
    </row>
    <row r="248">
      <c r="B248" s="660" t="s">
        <v>2550</v>
      </c>
      <c r="C248" s="551" t="s">
        <v>4029</v>
      </c>
      <c r="D248" s="661" t="s">
        <v>2551</v>
      </c>
      <c r="E248" s="662"/>
      <c r="F248" s="545">
        <v>499.0</v>
      </c>
      <c r="G248" s="545">
        <v>36.0</v>
      </c>
      <c r="H248" s="545">
        <v>1.0</v>
      </c>
      <c r="I248" s="545">
        <v>1.0</v>
      </c>
      <c r="J248" s="545">
        <v>1.0</v>
      </c>
      <c r="K248" s="545">
        <v>1.0</v>
      </c>
      <c r="L248" s="546"/>
      <c r="M248" s="545">
        <v>1.0</v>
      </c>
      <c r="N248" s="545">
        <v>1.0</v>
      </c>
      <c r="O248" s="546"/>
      <c r="P248" s="546"/>
      <c r="Q248" s="545">
        <v>1.0</v>
      </c>
      <c r="R248" s="545"/>
      <c r="S248" s="545"/>
      <c r="T248" s="545" t="str">
        <f t="shared" si="1"/>
        <v/>
      </c>
      <c r="U248" s="546"/>
      <c r="V248" s="546"/>
      <c r="W248" s="546"/>
      <c r="X248" s="546"/>
      <c r="Y248" s="546"/>
      <c r="Z248" s="546"/>
      <c r="AA248" s="546"/>
      <c r="AB248" s="546"/>
      <c r="AC248" s="546"/>
      <c r="AD248" s="546"/>
      <c r="AE248" s="546"/>
      <c r="AF248" s="546"/>
      <c r="AG248" s="546"/>
    </row>
    <row r="249">
      <c r="B249" s="660" t="s">
        <v>2543</v>
      </c>
      <c r="C249" s="551" t="s">
        <v>4030</v>
      </c>
      <c r="D249" s="661" t="s">
        <v>2544</v>
      </c>
      <c r="E249" s="662"/>
      <c r="F249" s="545">
        <v>2338.0</v>
      </c>
      <c r="G249" s="545">
        <v>57.0</v>
      </c>
      <c r="H249" s="546"/>
      <c r="I249" s="546"/>
      <c r="J249" s="545">
        <v>1.0</v>
      </c>
      <c r="K249" s="546"/>
      <c r="L249" s="546"/>
      <c r="M249" s="546"/>
      <c r="N249" s="545">
        <v>1.0</v>
      </c>
      <c r="O249" s="546"/>
      <c r="P249" s="546"/>
      <c r="Q249" s="545">
        <v>1.0</v>
      </c>
      <c r="R249" s="545"/>
      <c r="S249" s="545"/>
      <c r="T249" s="545" t="str">
        <f t="shared" si="1"/>
        <v/>
      </c>
      <c r="U249" s="545">
        <v>1.0</v>
      </c>
      <c r="V249" s="585"/>
      <c r="W249" s="546"/>
      <c r="X249" s="546"/>
      <c r="Y249" s="546"/>
      <c r="Z249" s="546"/>
      <c r="AA249" s="546"/>
      <c r="AB249" s="546"/>
      <c r="AC249" s="546"/>
      <c r="AD249" s="546"/>
      <c r="AE249" s="546"/>
      <c r="AF249" s="546"/>
      <c r="AG249" s="546"/>
    </row>
    <row r="250">
      <c r="B250" s="660" t="s">
        <v>2536</v>
      </c>
      <c r="C250" s="551" t="s">
        <v>4031</v>
      </c>
      <c r="D250" s="661" t="s">
        <v>2537</v>
      </c>
      <c r="E250" s="662"/>
      <c r="F250" s="545">
        <v>478.0</v>
      </c>
      <c r="G250" s="545">
        <v>166.0</v>
      </c>
      <c r="H250" s="546"/>
      <c r="I250" s="545">
        <v>1.0</v>
      </c>
      <c r="J250" s="545">
        <v>1.0</v>
      </c>
      <c r="K250" s="546"/>
      <c r="L250" s="546"/>
      <c r="M250" s="546"/>
      <c r="N250" s="545">
        <v>1.0</v>
      </c>
      <c r="O250" s="546"/>
      <c r="P250" s="546"/>
      <c r="Q250" s="545">
        <v>1.0</v>
      </c>
      <c r="R250" s="545"/>
      <c r="S250" s="545">
        <v>1.0</v>
      </c>
      <c r="T250" s="545" t="str">
        <f t="shared" si="1"/>
        <v/>
      </c>
      <c r="U250" s="545">
        <v>1.0</v>
      </c>
      <c r="V250" s="546"/>
      <c r="W250" s="546"/>
      <c r="X250" s="546"/>
      <c r="Y250" s="546"/>
      <c r="Z250" s="546"/>
      <c r="AA250" s="546"/>
      <c r="AB250" s="546"/>
      <c r="AC250" s="546"/>
      <c r="AD250" s="546"/>
      <c r="AE250" s="546"/>
      <c r="AF250" s="546"/>
      <c r="AG250" s="546"/>
    </row>
    <row r="251">
      <c r="B251" s="660" t="s">
        <v>2530</v>
      </c>
      <c r="C251" s="551" t="s">
        <v>4032</v>
      </c>
      <c r="D251" s="661" t="s">
        <v>2531</v>
      </c>
      <c r="E251" s="663" t="s">
        <v>3728</v>
      </c>
      <c r="F251" s="545">
        <v>51.0</v>
      </c>
      <c r="G251" s="545">
        <v>20.0</v>
      </c>
      <c r="H251" s="546"/>
      <c r="I251" s="546"/>
      <c r="J251" s="546"/>
      <c r="K251" s="546"/>
      <c r="L251" s="546"/>
      <c r="M251" s="546"/>
      <c r="N251" s="546"/>
      <c r="O251" s="546"/>
      <c r="P251" s="546"/>
      <c r="Q251" s="546"/>
      <c r="R251" s="545"/>
      <c r="S251" s="545"/>
      <c r="T251" s="545" t="str">
        <f t="shared" si="1"/>
        <v/>
      </c>
      <c r="U251" s="546"/>
      <c r="V251" s="546"/>
      <c r="W251" s="546"/>
      <c r="X251" s="546"/>
      <c r="Y251" s="546"/>
      <c r="Z251" s="546"/>
      <c r="AA251" s="546"/>
      <c r="AB251" s="546"/>
      <c r="AC251" s="546"/>
      <c r="AD251" s="546"/>
      <c r="AE251" s="546"/>
      <c r="AF251" s="546"/>
      <c r="AG251" s="546"/>
    </row>
    <row r="252">
      <c r="B252" s="660" t="s">
        <v>2524</v>
      </c>
      <c r="C252" s="551" t="s">
        <v>4033</v>
      </c>
      <c r="D252" s="661" t="s">
        <v>2525</v>
      </c>
      <c r="E252" s="662"/>
      <c r="F252" s="545">
        <v>1477.0</v>
      </c>
      <c r="G252" s="545">
        <v>33.0</v>
      </c>
      <c r="H252" s="545">
        <v>1.0</v>
      </c>
      <c r="I252" s="546"/>
      <c r="J252" s="545">
        <v>1.0</v>
      </c>
      <c r="K252" s="546"/>
      <c r="L252" s="546"/>
      <c r="M252" s="546"/>
      <c r="N252" s="546"/>
      <c r="O252" s="545"/>
      <c r="P252" s="545">
        <v>1.0</v>
      </c>
      <c r="Q252" s="545">
        <v>1.0</v>
      </c>
      <c r="R252" s="545"/>
      <c r="S252" s="545"/>
      <c r="T252" s="545" t="str">
        <f t="shared" si="1"/>
        <v/>
      </c>
      <c r="U252" s="545">
        <v>1.0</v>
      </c>
      <c r="V252" s="585"/>
      <c r="W252" s="546"/>
      <c r="X252" s="546"/>
      <c r="Y252" s="546"/>
      <c r="Z252" s="546"/>
      <c r="AA252" s="546"/>
      <c r="AB252" s="546"/>
      <c r="AC252" s="546"/>
      <c r="AD252" s="546"/>
      <c r="AE252" s="546"/>
      <c r="AF252" s="546"/>
      <c r="AG252" s="546"/>
    </row>
    <row r="253">
      <c r="B253" s="660" t="s">
        <v>2518</v>
      </c>
      <c r="C253" s="551" t="s">
        <v>4034</v>
      </c>
      <c r="D253" s="661" t="s">
        <v>2519</v>
      </c>
      <c r="E253" s="662"/>
      <c r="F253" s="545">
        <v>170.0</v>
      </c>
      <c r="G253" s="545">
        <v>23.0</v>
      </c>
      <c r="H253" s="545">
        <v>1.0</v>
      </c>
      <c r="I253" s="546"/>
      <c r="J253" s="546"/>
      <c r="K253" s="545">
        <v>1.0</v>
      </c>
      <c r="L253" s="546"/>
      <c r="M253" s="546"/>
      <c r="N253" s="545">
        <v>1.0</v>
      </c>
      <c r="O253" s="546"/>
      <c r="P253" s="546"/>
      <c r="Q253" s="545">
        <v>1.0</v>
      </c>
      <c r="R253" s="545"/>
      <c r="S253" s="545"/>
      <c r="T253" s="545" t="str">
        <f t="shared" si="1"/>
        <v/>
      </c>
      <c r="U253" s="545">
        <v>1.0</v>
      </c>
      <c r="V253" s="585"/>
      <c r="W253" s="546"/>
      <c r="X253" s="546"/>
      <c r="Y253" s="546"/>
      <c r="Z253" s="546"/>
      <c r="AA253" s="546"/>
      <c r="AB253" s="546"/>
      <c r="AC253" s="546"/>
      <c r="AD253" s="546"/>
      <c r="AE253" s="546"/>
      <c r="AF253" s="546"/>
      <c r="AG253" s="546"/>
    </row>
    <row r="254">
      <c r="B254" s="660" t="s">
        <v>2512</v>
      </c>
      <c r="C254" s="551" t="s">
        <v>4035</v>
      </c>
      <c r="D254" s="661" t="s">
        <v>2513</v>
      </c>
      <c r="E254" s="662"/>
      <c r="F254" s="545">
        <v>506.0</v>
      </c>
      <c r="G254" s="545">
        <v>3.0</v>
      </c>
      <c r="H254" s="545">
        <v>1.0</v>
      </c>
      <c r="I254" s="546"/>
      <c r="J254" s="546"/>
      <c r="K254" s="546"/>
      <c r="L254" s="546"/>
      <c r="M254" s="546"/>
      <c r="N254" s="546"/>
      <c r="O254" s="545">
        <v>1.0</v>
      </c>
      <c r="P254" s="546"/>
      <c r="Q254" s="545">
        <v>1.0</v>
      </c>
      <c r="R254" s="545"/>
      <c r="S254" s="545"/>
      <c r="T254" s="545" t="str">
        <f t="shared" si="1"/>
        <v/>
      </c>
      <c r="U254" s="545">
        <v>1.0</v>
      </c>
      <c r="V254" s="585"/>
      <c r="W254" s="546"/>
      <c r="X254" s="546"/>
      <c r="Y254" s="546"/>
      <c r="Z254" s="546"/>
      <c r="AA254" s="546"/>
      <c r="AB254" s="546"/>
      <c r="AC254" s="546"/>
      <c r="AD254" s="546"/>
      <c r="AE254" s="546"/>
      <c r="AF254" s="546"/>
      <c r="AG254" s="546"/>
    </row>
    <row r="255">
      <c r="B255" s="660" t="s">
        <v>2506</v>
      </c>
      <c r="C255" s="551" t="s">
        <v>4036</v>
      </c>
      <c r="D255" s="661" t="s">
        <v>2507</v>
      </c>
      <c r="E255" s="662"/>
      <c r="F255" s="545">
        <v>846.0</v>
      </c>
      <c r="G255" s="545">
        <v>141.0</v>
      </c>
      <c r="H255" s="545">
        <v>1.0</v>
      </c>
      <c r="I255" s="545">
        <v>1.0</v>
      </c>
      <c r="J255" s="545">
        <v>1.0</v>
      </c>
      <c r="K255" s="546"/>
      <c r="L255" s="546"/>
      <c r="M255" s="546"/>
      <c r="N255" s="545">
        <v>1.0</v>
      </c>
      <c r="O255" s="545">
        <v>1.0</v>
      </c>
      <c r="P255" s="546"/>
      <c r="Q255" s="545">
        <v>1.0</v>
      </c>
      <c r="R255" s="545"/>
      <c r="S255" s="545">
        <v>1.0</v>
      </c>
      <c r="T255" s="545" t="str">
        <f t="shared" si="1"/>
        <v/>
      </c>
      <c r="U255" s="545">
        <v>1.0</v>
      </c>
      <c r="V255" s="585"/>
      <c r="W255" s="546"/>
      <c r="X255" s="546"/>
      <c r="Y255" s="546"/>
      <c r="Z255" s="546"/>
      <c r="AA255" s="546"/>
      <c r="AB255" s="546"/>
      <c r="AC255" s="546"/>
      <c r="AD255" s="546"/>
      <c r="AE255" s="546"/>
      <c r="AF255" s="546"/>
      <c r="AG255" s="546"/>
    </row>
    <row r="256">
      <c r="B256" s="660" t="s">
        <v>2500</v>
      </c>
      <c r="C256" s="551" t="s">
        <v>4037</v>
      </c>
      <c r="D256" s="661" t="s">
        <v>2501</v>
      </c>
      <c r="E256" s="662"/>
      <c r="F256" s="545">
        <v>524.0</v>
      </c>
      <c r="G256" s="545">
        <v>85.0</v>
      </c>
      <c r="H256" s="545">
        <v>1.0</v>
      </c>
      <c r="I256" s="546"/>
      <c r="J256" s="546"/>
      <c r="K256" s="545">
        <v>1.0</v>
      </c>
      <c r="L256" s="546"/>
      <c r="M256" s="546"/>
      <c r="N256" s="545">
        <v>1.0</v>
      </c>
      <c r="O256" s="546"/>
      <c r="P256" s="546"/>
      <c r="Q256" s="546"/>
      <c r="R256" s="545"/>
      <c r="S256" s="545"/>
      <c r="T256" s="545" t="str">
        <f t="shared" si="1"/>
        <v/>
      </c>
      <c r="U256" s="546"/>
      <c r="V256" s="546"/>
      <c r="W256" s="546"/>
      <c r="X256" s="546"/>
      <c r="Y256" s="546"/>
      <c r="Z256" s="546"/>
      <c r="AA256" s="546"/>
      <c r="AB256" s="546"/>
      <c r="AC256" s="546"/>
      <c r="AD256" s="546"/>
      <c r="AE256" s="546"/>
      <c r="AF256" s="546"/>
      <c r="AG256" s="546"/>
    </row>
    <row r="257">
      <c r="B257" s="660" t="s">
        <v>2488</v>
      </c>
      <c r="C257" s="551" t="s">
        <v>4038</v>
      </c>
      <c r="D257" s="661" t="s">
        <v>2489</v>
      </c>
      <c r="E257" s="663" t="s">
        <v>3728</v>
      </c>
      <c r="F257" s="545">
        <v>553.0</v>
      </c>
      <c r="G257" s="545">
        <v>1.0</v>
      </c>
      <c r="H257" s="546"/>
      <c r="I257" s="546"/>
      <c r="J257" s="546"/>
      <c r="K257" s="546"/>
      <c r="L257" s="546"/>
      <c r="M257" s="546"/>
      <c r="N257" s="545">
        <v>1.0</v>
      </c>
      <c r="O257" s="546"/>
      <c r="P257" s="546"/>
      <c r="Q257" s="546"/>
      <c r="R257" s="545"/>
      <c r="S257" s="545"/>
      <c r="T257" s="545" t="str">
        <f t="shared" si="1"/>
        <v/>
      </c>
      <c r="U257" s="546"/>
      <c r="V257" s="546"/>
      <c r="W257" s="546"/>
      <c r="X257" s="546"/>
      <c r="Y257" s="546"/>
      <c r="Z257" s="546"/>
      <c r="AA257" s="546"/>
      <c r="AB257" s="546"/>
      <c r="AC257" s="546"/>
      <c r="AD257" s="546"/>
      <c r="AE257" s="546"/>
      <c r="AF257" s="546"/>
      <c r="AG257" s="546"/>
    </row>
    <row r="258">
      <c r="B258" s="660" t="s">
        <v>2482</v>
      </c>
      <c r="C258" s="551" t="s">
        <v>4039</v>
      </c>
      <c r="D258" s="661" t="s">
        <v>2483</v>
      </c>
      <c r="E258" s="663" t="s">
        <v>1263</v>
      </c>
      <c r="F258" s="545">
        <v>1114.0</v>
      </c>
      <c r="G258" s="545">
        <v>0.0</v>
      </c>
      <c r="H258" s="546"/>
      <c r="I258" s="545">
        <v>1.0</v>
      </c>
      <c r="J258" s="545">
        <v>1.0</v>
      </c>
      <c r="K258" s="545">
        <v>1.0</v>
      </c>
      <c r="L258" s="546"/>
      <c r="M258" s="546"/>
      <c r="N258" s="546"/>
      <c r="O258" s="545">
        <v>1.0</v>
      </c>
      <c r="P258" s="546"/>
      <c r="Q258" s="545">
        <v>1.0</v>
      </c>
      <c r="R258" s="545"/>
      <c r="S258" s="545"/>
      <c r="T258" s="545" t="str">
        <f t="shared" si="1"/>
        <v/>
      </c>
      <c r="U258" s="545">
        <v>1.0</v>
      </c>
      <c r="V258" s="546"/>
      <c r="W258" s="546"/>
      <c r="X258" s="546"/>
      <c r="Y258" s="546"/>
      <c r="Z258" s="546"/>
      <c r="AA258" s="546"/>
      <c r="AB258" s="546"/>
      <c r="AC258" s="546"/>
      <c r="AD258" s="546"/>
      <c r="AE258" s="546"/>
      <c r="AF258" s="546"/>
      <c r="AG258" s="546"/>
    </row>
    <row r="259">
      <c r="A259" s="679" t="s">
        <v>2779</v>
      </c>
      <c r="B259" s="680" t="s">
        <v>2829</v>
      </c>
      <c r="C259" s="592" t="s">
        <v>4042</v>
      </c>
      <c r="D259" s="681" t="s">
        <v>4040</v>
      </c>
      <c r="E259" s="682"/>
      <c r="F259" s="588">
        <v>441.0</v>
      </c>
      <c r="G259" s="588">
        <v>340.0</v>
      </c>
      <c r="H259" s="329"/>
      <c r="I259" s="329"/>
      <c r="J259" s="588"/>
      <c r="K259" s="588">
        <v>1.0</v>
      </c>
      <c r="L259" s="329"/>
      <c r="M259" s="588">
        <v>1.0</v>
      </c>
      <c r="N259" s="588">
        <v>1.0</v>
      </c>
      <c r="O259" s="329"/>
      <c r="P259" s="329"/>
      <c r="Q259" s="588">
        <v>1.0</v>
      </c>
      <c r="R259" s="588"/>
      <c r="S259" s="588"/>
      <c r="T259" s="588" t="str">
        <f t="shared" si="1"/>
        <v/>
      </c>
      <c r="U259" s="329"/>
      <c r="V259" s="329"/>
      <c r="W259" s="329"/>
      <c r="X259" s="329"/>
      <c r="Y259" s="329"/>
      <c r="Z259" s="329"/>
      <c r="AA259" s="329"/>
      <c r="AB259" s="329"/>
      <c r="AC259" s="329"/>
      <c r="AD259" s="329"/>
      <c r="AE259" s="329"/>
      <c r="AF259" s="329"/>
      <c r="AG259" s="329"/>
    </row>
    <row r="260">
      <c r="B260" s="680" t="s">
        <v>2824</v>
      </c>
      <c r="C260" s="592" t="s">
        <v>4043</v>
      </c>
      <c r="D260" s="681" t="s">
        <v>4003</v>
      </c>
      <c r="E260" s="682"/>
      <c r="F260" s="588">
        <v>162.0</v>
      </c>
      <c r="G260" s="588">
        <v>202.0</v>
      </c>
      <c r="H260" s="329"/>
      <c r="I260" s="329"/>
      <c r="J260" s="588">
        <v>1.0</v>
      </c>
      <c r="K260" s="588" t="s">
        <v>706</v>
      </c>
      <c r="L260" s="329"/>
      <c r="M260" s="588">
        <v>1.0</v>
      </c>
      <c r="N260" s="588">
        <v>1.0</v>
      </c>
      <c r="O260" s="329"/>
      <c r="P260" s="329"/>
      <c r="Q260" s="588">
        <v>1.0</v>
      </c>
      <c r="R260" s="588">
        <v>1.0</v>
      </c>
      <c r="S260" s="588"/>
      <c r="T260" s="588" t="str">
        <f t="shared" si="1"/>
        <v/>
      </c>
      <c r="U260" s="329"/>
      <c r="V260" s="329"/>
      <c r="W260" s="329"/>
      <c r="X260" s="329"/>
      <c r="Y260" s="329"/>
      <c r="Z260" s="329"/>
      <c r="AA260" s="329"/>
      <c r="AB260" s="329"/>
      <c r="AC260" s="329"/>
      <c r="AD260" s="329"/>
      <c r="AE260" s="329"/>
      <c r="AF260" s="329"/>
      <c r="AG260" s="329"/>
    </row>
    <row r="261">
      <c r="B261" s="680" t="s">
        <v>2819</v>
      </c>
      <c r="C261" s="592" t="s">
        <v>4045</v>
      </c>
      <c r="D261" s="681" t="s">
        <v>4044</v>
      </c>
      <c r="E261" s="682"/>
      <c r="F261" s="588">
        <v>89.0</v>
      </c>
      <c r="G261" s="588">
        <v>67.0</v>
      </c>
      <c r="H261" s="588">
        <v>1.0</v>
      </c>
      <c r="I261" s="329"/>
      <c r="J261" s="588">
        <v>1.0</v>
      </c>
      <c r="K261" s="329"/>
      <c r="L261" s="329"/>
      <c r="M261" s="329"/>
      <c r="N261" s="588">
        <v>1.0</v>
      </c>
      <c r="O261" s="329"/>
      <c r="P261" s="329"/>
      <c r="Q261" s="588">
        <v>1.0</v>
      </c>
      <c r="R261" s="588"/>
      <c r="S261" s="588"/>
      <c r="T261" s="588" t="str">
        <f t="shared" si="1"/>
        <v/>
      </c>
      <c r="U261" s="329"/>
      <c r="V261" s="329"/>
      <c r="W261" s="329"/>
      <c r="X261" s="329"/>
      <c r="Y261" s="329"/>
      <c r="Z261" s="329"/>
      <c r="AA261" s="329"/>
      <c r="AB261" s="329"/>
      <c r="AC261" s="329"/>
      <c r="AD261" s="329"/>
      <c r="AE261" s="329"/>
      <c r="AF261" s="329"/>
      <c r="AG261" s="329"/>
    </row>
    <row r="262">
      <c r="B262" s="680" t="s">
        <v>2814</v>
      </c>
      <c r="C262" s="592" t="s">
        <v>4047</v>
      </c>
      <c r="D262" s="681" t="s">
        <v>4046</v>
      </c>
      <c r="E262" s="682"/>
      <c r="F262" s="588">
        <v>23130.0</v>
      </c>
      <c r="G262" s="588">
        <v>483.0</v>
      </c>
      <c r="H262" s="588">
        <v>1.0</v>
      </c>
      <c r="I262" s="329"/>
      <c r="J262" s="588">
        <v>1.0</v>
      </c>
      <c r="K262" s="588">
        <v>1.0</v>
      </c>
      <c r="L262" s="329"/>
      <c r="M262" s="588">
        <v>1.0</v>
      </c>
      <c r="N262" s="588">
        <v>1.0</v>
      </c>
      <c r="O262" s="329"/>
      <c r="P262" s="329"/>
      <c r="Q262" s="588">
        <v>1.0</v>
      </c>
      <c r="R262" s="588"/>
      <c r="S262" s="588">
        <v>1.0</v>
      </c>
      <c r="T262" s="588" t="str">
        <f t="shared" si="1"/>
        <v/>
      </c>
      <c r="U262" s="329"/>
      <c r="V262" s="329"/>
      <c r="W262" s="329"/>
      <c r="X262" s="329"/>
      <c r="Y262" s="329"/>
      <c r="Z262" s="329"/>
      <c r="AA262" s="329"/>
      <c r="AB262" s="329"/>
      <c r="AC262" s="329"/>
      <c r="AD262" s="329"/>
      <c r="AE262" s="329"/>
      <c r="AF262" s="329"/>
      <c r="AG262" s="329"/>
    </row>
    <row r="263">
      <c r="B263" s="680" t="s">
        <v>2809</v>
      </c>
      <c r="C263" s="592" t="s">
        <v>4048</v>
      </c>
      <c r="D263" s="681" t="s">
        <v>4001</v>
      </c>
      <c r="E263" s="682"/>
      <c r="F263" s="588">
        <v>836.0</v>
      </c>
      <c r="G263" s="588">
        <v>1015.0</v>
      </c>
      <c r="H263" s="329"/>
      <c r="I263" s="329"/>
      <c r="J263" s="329"/>
      <c r="K263" s="329"/>
      <c r="L263" s="329"/>
      <c r="M263" s="329"/>
      <c r="N263" s="588">
        <v>1.0</v>
      </c>
      <c r="O263" s="329"/>
      <c r="P263" s="329"/>
      <c r="Q263" s="588">
        <v>1.0</v>
      </c>
      <c r="R263" s="588"/>
      <c r="S263" s="588">
        <v>1.0</v>
      </c>
      <c r="T263" s="588" t="str">
        <f t="shared" si="1"/>
        <v/>
      </c>
      <c r="U263" s="329"/>
      <c r="V263" s="329"/>
      <c r="W263" s="329"/>
      <c r="X263" s="329"/>
      <c r="Y263" s="329"/>
      <c r="Z263" s="329"/>
      <c r="AA263" s="329"/>
      <c r="AB263" s="329"/>
      <c r="AC263" s="329"/>
      <c r="AD263" s="329"/>
      <c r="AE263" s="329"/>
      <c r="AF263" s="329"/>
      <c r="AG263" s="329"/>
    </row>
    <row r="264">
      <c r="B264" s="680" t="s">
        <v>2804</v>
      </c>
      <c r="C264" s="592" t="s">
        <v>4050</v>
      </c>
      <c r="D264" s="681" t="s">
        <v>4049</v>
      </c>
      <c r="E264" s="683" t="s">
        <v>3728</v>
      </c>
      <c r="F264" s="588">
        <v>424.0</v>
      </c>
      <c r="G264" s="588">
        <v>153.0</v>
      </c>
      <c r="H264" s="329"/>
      <c r="I264" s="329"/>
      <c r="J264" s="329"/>
      <c r="K264" s="329"/>
      <c r="L264" s="329"/>
      <c r="M264" s="329"/>
      <c r="N264" s="329"/>
      <c r="O264" s="329"/>
      <c r="P264" s="329"/>
      <c r="Q264" s="329"/>
      <c r="R264" s="588"/>
      <c r="S264" s="588"/>
      <c r="T264" s="588" t="str">
        <f t="shared" si="1"/>
        <v/>
      </c>
      <c r="U264" s="329"/>
      <c r="V264" s="329"/>
      <c r="W264" s="329"/>
      <c r="X264" s="329"/>
      <c r="Y264" s="329"/>
      <c r="Z264" s="329"/>
      <c r="AA264" s="329"/>
      <c r="AB264" s="329"/>
      <c r="AC264" s="329"/>
      <c r="AD264" s="329"/>
      <c r="AE264" s="329"/>
      <c r="AF264" s="329"/>
      <c r="AG264" s="329"/>
    </row>
    <row r="265">
      <c r="B265" s="680" t="s">
        <v>2799</v>
      </c>
      <c r="C265" s="592" t="s">
        <v>4052</v>
      </c>
      <c r="D265" s="681" t="s">
        <v>4051</v>
      </c>
      <c r="E265" s="682"/>
      <c r="F265" s="588">
        <v>628.0</v>
      </c>
      <c r="G265" s="588">
        <v>591.0</v>
      </c>
      <c r="H265" s="588">
        <v>1.0</v>
      </c>
      <c r="I265" s="588">
        <v>1.0</v>
      </c>
      <c r="J265" s="588">
        <v>1.0</v>
      </c>
      <c r="K265" s="329"/>
      <c r="L265" s="329"/>
      <c r="M265" s="329"/>
      <c r="N265" s="329"/>
      <c r="O265" s="329"/>
      <c r="P265" s="329"/>
      <c r="Q265" s="329"/>
      <c r="R265" s="588"/>
      <c r="S265" s="588"/>
      <c r="T265" s="588" t="str">
        <f t="shared" si="1"/>
        <v/>
      </c>
      <c r="U265" s="329"/>
      <c r="V265" s="329"/>
      <c r="W265" s="329"/>
      <c r="X265" s="329"/>
      <c r="Y265" s="329"/>
      <c r="Z265" s="329"/>
      <c r="AA265" s="329"/>
      <c r="AB265" s="329"/>
      <c r="AC265" s="329"/>
      <c r="AD265" s="329"/>
      <c r="AE265" s="329"/>
      <c r="AF265" s="329"/>
      <c r="AG265" s="329"/>
    </row>
    <row r="266">
      <c r="B266" s="680" t="s">
        <v>2794</v>
      </c>
      <c r="C266" s="592" t="s">
        <v>4054</v>
      </c>
      <c r="D266" s="681" t="s">
        <v>4053</v>
      </c>
      <c r="E266" s="682"/>
      <c r="F266" s="588">
        <v>987.0</v>
      </c>
      <c r="G266" s="588">
        <v>796.0</v>
      </c>
      <c r="H266" s="588">
        <v>1.0</v>
      </c>
      <c r="I266" s="329"/>
      <c r="J266" s="588">
        <v>1.0</v>
      </c>
      <c r="K266" s="329"/>
      <c r="L266" s="329"/>
      <c r="M266" s="329"/>
      <c r="N266" s="588">
        <v>1.0</v>
      </c>
      <c r="O266" s="329"/>
      <c r="P266" s="329"/>
      <c r="Q266" s="588">
        <v>1.0</v>
      </c>
      <c r="R266" s="588"/>
      <c r="S266" s="588">
        <v>1.0</v>
      </c>
      <c r="T266" s="588" t="str">
        <f t="shared" si="1"/>
        <v/>
      </c>
      <c r="U266" s="329"/>
      <c r="V266" s="329"/>
      <c r="W266" s="329"/>
      <c r="X266" s="329"/>
      <c r="Y266" s="329"/>
      <c r="Z266" s="329"/>
      <c r="AA266" s="329"/>
      <c r="AB266" s="329"/>
      <c r="AC266" s="329"/>
      <c r="AD266" s="329"/>
      <c r="AE266" s="329"/>
      <c r="AF266" s="329"/>
      <c r="AG266" s="329"/>
    </row>
    <row r="267">
      <c r="B267" s="680" t="s">
        <v>2789</v>
      </c>
      <c r="C267" s="592" t="s">
        <v>4056</v>
      </c>
      <c r="D267" s="681" t="s">
        <v>4055</v>
      </c>
      <c r="E267" s="682"/>
      <c r="F267" s="588">
        <v>1258.0</v>
      </c>
      <c r="G267" s="588">
        <v>1347.0</v>
      </c>
      <c r="H267" s="588">
        <v>1.0</v>
      </c>
      <c r="I267" s="588">
        <v>1.0</v>
      </c>
      <c r="J267" s="588">
        <v>1.0</v>
      </c>
      <c r="K267" s="329"/>
      <c r="L267" s="329"/>
      <c r="M267" s="329"/>
      <c r="N267" s="329"/>
      <c r="O267" s="329"/>
      <c r="P267" s="329"/>
      <c r="Q267" s="588">
        <v>1.0</v>
      </c>
      <c r="R267" s="588"/>
      <c r="S267" s="588">
        <v>1.0</v>
      </c>
      <c r="T267" s="588" t="str">
        <f t="shared" si="1"/>
        <v/>
      </c>
      <c r="U267" s="329"/>
      <c r="V267" s="329"/>
      <c r="W267" s="329"/>
      <c r="X267" s="329"/>
      <c r="Y267" s="329"/>
      <c r="Z267" s="329"/>
      <c r="AA267" s="329"/>
      <c r="AB267" s="329"/>
      <c r="AC267" s="329"/>
      <c r="AD267" s="329"/>
      <c r="AE267" s="329"/>
      <c r="AF267" s="329"/>
      <c r="AG267" s="329"/>
    </row>
    <row r="268">
      <c r="B268" s="680" t="s">
        <v>2784</v>
      </c>
      <c r="C268" s="592" t="s">
        <v>4058</v>
      </c>
      <c r="D268" s="681" t="s">
        <v>4057</v>
      </c>
      <c r="E268" s="683" t="s">
        <v>1263</v>
      </c>
      <c r="F268" s="588">
        <v>505.0</v>
      </c>
      <c r="G268" s="588">
        <v>66.0</v>
      </c>
      <c r="H268" s="588">
        <v>1.0</v>
      </c>
      <c r="I268" s="329"/>
      <c r="J268" s="329"/>
      <c r="K268" s="329"/>
      <c r="L268" s="329"/>
      <c r="M268" s="329"/>
      <c r="N268" s="329"/>
      <c r="O268" s="329"/>
      <c r="P268" s="329"/>
      <c r="Q268" s="588">
        <v>1.0</v>
      </c>
      <c r="R268" s="588">
        <v>1.0</v>
      </c>
      <c r="S268" s="588">
        <v>1.0</v>
      </c>
      <c r="T268" s="588" t="str">
        <f t="shared" si="1"/>
        <v/>
      </c>
      <c r="U268" s="588">
        <v>1.0</v>
      </c>
      <c r="V268" s="329"/>
      <c r="W268" s="329"/>
      <c r="X268" s="329"/>
      <c r="Y268" s="329"/>
      <c r="Z268" s="329"/>
      <c r="AA268" s="329"/>
      <c r="AB268" s="329"/>
      <c r="AC268" s="329"/>
      <c r="AD268" s="329"/>
      <c r="AE268" s="329"/>
      <c r="AF268" s="329"/>
      <c r="AG268" s="329"/>
    </row>
    <row r="269">
      <c r="A269" s="669" t="s">
        <v>2734</v>
      </c>
      <c r="B269" s="670" t="s">
        <v>2770</v>
      </c>
      <c r="C269" s="568" t="s">
        <v>4059</v>
      </c>
      <c r="D269" s="671" t="s">
        <v>3968</v>
      </c>
      <c r="E269" s="673" t="s">
        <v>3728</v>
      </c>
      <c r="F269" s="438">
        <v>731.0</v>
      </c>
      <c r="G269" s="438">
        <v>148.0</v>
      </c>
      <c r="H269" s="564"/>
      <c r="I269" s="564"/>
      <c r="J269" s="564"/>
      <c r="K269" s="564"/>
      <c r="L269" s="564"/>
      <c r="M269" s="564"/>
      <c r="N269" s="564"/>
      <c r="O269" s="564"/>
      <c r="P269" s="564"/>
      <c r="Q269" s="564"/>
      <c r="R269" s="438"/>
      <c r="S269" s="438"/>
      <c r="T269" s="438" t="str">
        <f t="shared" si="1"/>
        <v/>
      </c>
      <c r="U269" s="564"/>
      <c r="V269" s="564"/>
      <c r="W269" s="564"/>
      <c r="X269" s="564"/>
      <c r="Y269" s="564"/>
      <c r="Z269" s="564"/>
      <c r="AA269" s="564"/>
      <c r="AB269" s="564"/>
      <c r="AC269" s="564"/>
      <c r="AD269" s="564"/>
      <c r="AE269" s="564"/>
      <c r="AF269" s="564"/>
      <c r="AG269" s="564"/>
    </row>
    <row r="270">
      <c r="B270" s="670" t="s">
        <v>2763</v>
      </c>
      <c r="C270" s="568" t="s">
        <v>4061</v>
      </c>
      <c r="D270" s="671" t="s">
        <v>4060</v>
      </c>
      <c r="E270" s="673" t="s">
        <v>3728</v>
      </c>
      <c r="F270" s="438">
        <v>300.0</v>
      </c>
      <c r="G270" s="438">
        <v>208.0</v>
      </c>
      <c r="H270" s="564"/>
      <c r="I270" s="564"/>
      <c r="J270" s="564"/>
      <c r="K270" s="564"/>
      <c r="L270" s="564"/>
      <c r="M270" s="564"/>
      <c r="N270" s="564"/>
      <c r="O270" s="564"/>
      <c r="P270" s="564"/>
      <c r="Q270" s="564"/>
      <c r="R270" s="438"/>
      <c r="S270" s="438"/>
      <c r="T270" s="438" t="str">
        <f t="shared" si="1"/>
        <v/>
      </c>
      <c r="U270" s="564"/>
      <c r="V270" s="564"/>
      <c r="W270" s="564"/>
      <c r="X270" s="564"/>
      <c r="Y270" s="564"/>
      <c r="Z270" s="564"/>
      <c r="AA270" s="564"/>
      <c r="AB270" s="564"/>
      <c r="AC270" s="564"/>
      <c r="AD270" s="564"/>
      <c r="AE270" s="564"/>
      <c r="AF270" s="564"/>
      <c r="AG270" s="564"/>
    </row>
    <row r="271">
      <c r="B271" s="670" t="s">
        <v>2757</v>
      </c>
      <c r="C271" s="568" t="s">
        <v>4064</v>
      </c>
      <c r="D271" s="671" t="s">
        <v>4062</v>
      </c>
      <c r="E271" s="672"/>
      <c r="F271" s="438">
        <v>580.0</v>
      </c>
      <c r="G271" s="438">
        <v>426.0</v>
      </c>
      <c r="H271" s="438">
        <v>1.0</v>
      </c>
      <c r="I271" s="438">
        <v>1.0</v>
      </c>
      <c r="J271" s="438">
        <v>1.0</v>
      </c>
      <c r="K271" s="438">
        <v>1.0</v>
      </c>
      <c r="L271" s="564"/>
      <c r="M271" s="438">
        <v>1.0</v>
      </c>
      <c r="N271" s="564"/>
      <c r="O271" s="564"/>
      <c r="P271" s="564"/>
      <c r="Q271" s="438">
        <v>1.0</v>
      </c>
      <c r="R271" s="438"/>
      <c r="S271" s="438"/>
      <c r="T271" s="438" t="str">
        <f t="shared" si="1"/>
        <v/>
      </c>
      <c r="U271" s="564"/>
      <c r="V271" s="564"/>
      <c r="W271" s="564"/>
      <c r="X271" s="564"/>
      <c r="Y271" s="564"/>
      <c r="Z271" s="564"/>
      <c r="AA271" s="564"/>
      <c r="AB271" s="564"/>
      <c r="AC271" s="564"/>
      <c r="AD271" s="564"/>
      <c r="AE271" s="564"/>
      <c r="AF271" s="564"/>
      <c r="AG271" s="564"/>
    </row>
    <row r="272">
      <c r="B272" s="670" t="s">
        <v>2751</v>
      </c>
      <c r="C272" s="568" t="s">
        <v>4067</v>
      </c>
      <c r="D272" s="671" t="s">
        <v>4065</v>
      </c>
      <c r="E272" s="672"/>
      <c r="F272" s="438">
        <v>59636.0</v>
      </c>
      <c r="G272" s="438">
        <v>144.0</v>
      </c>
      <c r="H272" s="438">
        <v>1.0</v>
      </c>
      <c r="I272" s="438">
        <v>1.0</v>
      </c>
      <c r="J272" s="438">
        <v>1.0</v>
      </c>
      <c r="K272" s="438">
        <v>1.0</v>
      </c>
      <c r="L272" s="564"/>
      <c r="M272" s="564"/>
      <c r="N272" s="564"/>
      <c r="O272" s="564"/>
      <c r="P272" s="564"/>
      <c r="Q272" s="564"/>
      <c r="R272" s="438"/>
      <c r="S272" s="438">
        <v>1.0</v>
      </c>
      <c r="T272" s="438" t="str">
        <f t="shared" si="1"/>
        <v/>
      </c>
      <c r="U272" s="438">
        <v>1.0</v>
      </c>
      <c r="V272" s="438"/>
      <c r="W272" s="564"/>
      <c r="X272" s="564"/>
      <c r="Y272" s="564"/>
      <c r="Z272" s="564"/>
      <c r="AA272" s="564"/>
      <c r="AB272" s="564"/>
      <c r="AC272" s="564"/>
      <c r="AD272" s="564"/>
      <c r="AE272" s="564"/>
      <c r="AF272" s="564"/>
      <c r="AG272" s="564"/>
    </row>
    <row r="273">
      <c r="B273" s="670" t="s">
        <v>2738</v>
      </c>
      <c r="C273" s="568" t="s">
        <v>4070</v>
      </c>
      <c r="D273" s="671" t="s">
        <v>4068</v>
      </c>
      <c r="E273" s="673" t="s">
        <v>3728</v>
      </c>
      <c r="F273" s="438">
        <v>622.0</v>
      </c>
      <c r="G273" s="438">
        <v>36.0</v>
      </c>
      <c r="H273" s="564"/>
      <c r="I273" s="564"/>
      <c r="J273" s="564"/>
      <c r="K273" s="564"/>
      <c r="L273" s="564"/>
      <c r="M273" s="564"/>
      <c r="N273" s="564"/>
      <c r="O273" s="564"/>
      <c r="P273" s="564"/>
      <c r="Q273" s="564"/>
      <c r="R273" s="438"/>
      <c r="S273" s="438"/>
      <c r="T273" s="438" t="str">
        <f t="shared" si="1"/>
        <v/>
      </c>
      <c r="U273" s="564"/>
      <c r="V273" s="564"/>
      <c r="W273" s="564"/>
      <c r="X273" s="564"/>
      <c r="Y273" s="564"/>
      <c r="Z273" s="564"/>
      <c r="AA273" s="564"/>
      <c r="AB273" s="564"/>
      <c r="AC273" s="564"/>
      <c r="AD273" s="564"/>
      <c r="AE273" s="564"/>
      <c r="AF273" s="564"/>
      <c r="AG273" s="564"/>
    </row>
    <row r="274">
      <c r="A274" s="684" t="s">
        <v>2909</v>
      </c>
      <c r="B274" s="685" t="s">
        <v>3002</v>
      </c>
      <c r="C274" s="603" t="s">
        <v>4072</v>
      </c>
      <c r="D274" s="686" t="s">
        <v>4071</v>
      </c>
      <c r="E274" s="687"/>
      <c r="F274" s="598">
        <v>1059.0</v>
      </c>
      <c r="G274" s="598">
        <v>757.0</v>
      </c>
      <c r="H274" s="598">
        <v>1.0</v>
      </c>
      <c r="I274" s="598">
        <v>1.0</v>
      </c>
      <c r="J274" s="598">
        <v>1.0</v>
      </c>
      <c r="K274" s="598">
        <v>1.0</v>
      </c>
      <c r="L274" s="597"/>
      <c r="M274" s="597"/>
      <c r="N274" s="598">
        <v>1.0</v>
      </c>
      <c r="O274" s="597"/>
      <c r="P274" s="597"/>
      <c r="Q274" s="598">
        <v>1.0</v>
      </c>
      <c r="R274" s="598"/>
      <c r="S274" s="598"/>
      <c r="T274" s="598" t="str">
        <f t="shared" si="1"/>
        <v/>
      </c>
      <c r="U274" s="597"/>
      <c r="V274" s="597"/>
      <c r="W274" s="597"/>
      <c r="X274" s="597"/>
      <c r="Y274" s="597"/>
      <c r="Z274" s="597"/>
      <c r="AA274" s="597"/>
      <c r="AB274" s="597"/>
      <c r="AC274" s="597"/>
      <c r="AD274" s="597"/>
      <c r="AE274" s="597"/>
      <c r="AF274" s="597"/>
      <c r="AG274" s="597"/>
    </row>
    <row r="275">
      <c r="B275" s="685" t="s">
        <v>2996</v>
      </c>
      <c r="C275" s="603" t="s">
        <v>4074</v>
      </c>
      <c r="D275" s="686" t="s">
        <v>4073</v>
      </c>
      <c r="E275" s="688" t="s">
        <v>3728</v>
      </c>
      <c r="F275" s="598">
        <v>202.0</v>
      </c>
      <c r="G275" s="598">
        <v>78.0</v>
      </c>
      <c r="H275" s="597"/>
      <c r="I275" s="597"/>
      <c r="J275" s="597"/>
      <c r="K275" s="597"/>
      <c r="L275" s="597"/>
      <c r="M275" s="597"/>
      <c r="N275" s="597"/>
      <c r="O275" s="597"/>
      <c r="P275" s="597"/>
      <c r="Q275" s="597"/>
      <c r="R275" s="598"/>
      <c r="S275" s="598"/>
      <c r="T275" s="598" t="str">
        <f t="shared" si="1"/>
        <v/>
      </c>
      <c r="U275" s="597"/>
      <c r="V275" s="597"/>
      <c r="W275" s="597"/>
      <c r="X275" s="597"/>
      <c r="Y275" s="597"/>
      <c r="Z275" s="597"/>
      <c r="AA275" s="597"/>
      <c r="AB275" s="597"/>
      <c r="AC275" s="597"/>
      <c r="AD275" s="597"/>
      <c r="AE275" s="597"/>
      <c r="AF275" s="597"/>
      <c r="AG275" s="597"/>
    </row>
    <row r="276">
      <c r="B276" s="685" t="s">
        <v>2992</v>
      </c>
      <c r="C276" s="603" t="s">
        <v>4077</v>
      </c>
      <c r="D276" s="686" t="s">
        <v>4075</v>
      </c>
      <c r="E276" s="687"/>
      <c r="F276" s="598">
        <v>334.0</v>
      </c>
      <c r="G276" s="598">
        <v>364.0</v>
      </c>
      <c r="H276" s="598">
        <v>1.0</v>
      </c>
      <c r="I276" s="597"/>
      <c r="J276" s="598">
        <v>1.0</v>
      </c>
      <c r="K276" s="597"/>
      <c r="L276" s="597"/>
      <c r="M276" s="597"/>
      <c r="N276" s="597"/>
      <c r="O276" s="597"/>
      <c r="P276" s="597"/>
      <c r="Q276" s="598">
        <v>1.0</v>
      </c>
      <c r="R276" s="598">
        <v>1.0</v>
      </c>
      <c r="S276" s="598"/>
      <c r="T276" s="598" t="str">
        <f t="shared" si="1"/>
        <v/>
      </c>
      <c r="U276" s="598">
        <v>1.0</v>
      </c>
      <c r="V276" s="598"/>
      <c r="W276" s="597"/>
      <c r="X276" s="597"/>
      <c r="Y276" s="597"/>
      <c r="Z276" s="597"/>
      <c r="AA276" s="597"/>
      <c r="AB276" s="597"/>
      <c r="AC276" s="597"/>
      <c r="AD276" s="597"/>
      <c r="AE276" s="597"/>
      <c r="AF276" s="597"/>
      <c r="AG276" s="597"/>
    </row>
    <row r="277">
      <c r="B277" s="685" t="s">
        <v>2987</v>
      </c>
      <c r="C277" s="603" t="s">
        <v>4079</v>
      </c>
      <c r="D277" s="686" t="s">
        <v>4078</v>
      </c>
      <c r="E277" s="688" t="s">
        <v>3728</v>
      </c>
      <c r="F277" s="598">
        <v>2.0</v>
      </c>
      <c r="G277" s="598">
        <v>9.0</v>
      </c>
      <c r="H277" s="597"/>
      <c r="I277" s="597"/>
      <c r="J277" s="597"/>
      <c r="K277" s="597"/>
      <c r="L277" s="597"/>
      <c r="M277" s="597"/>
      <c r="N277" s="597"/>
      <c r="O277" s="597"/>
      <c r="P277" s="597"/>
      <c r="Q277" s="597"/>
      <c r="R277" s="598"/>
      <c r="S277" s="598"/>
      <c r="T277" s="598" t="str">
        <f t="shared" si="1"/>
        <v/>
      </c>
      <c r="U277" s="597"/>
      <c r="V277" s="597"/>
      <c r="W277" s="597"/>
      <c r="X277" s="597"/>
      <c r="Y277" s="597"/>
      <c r="Z277" s="597"/>
      <c r="AA277" s="597"/>
      <c r="AB277" s="597"/>
      <c r="AC277" s="597"/>
      <c r="AD277" s="597"/>
      <c r="AE277" s="597"/>
      <c r="AF277" s="597"/>
      <c r="AG277" s="597"/>
    </row>
    <row r="278">
      <c r="B278" s="685" t="s">
        <v>2981</v>
      </c>
      <c r="C278" s="603" t="s">
        <v>4081</v>
      </c>
      <c r="D278" s="686" t="s">
        <v>4080</v>
      </c>
      <c r="E278" s="687"/>
      <c r="F278" s="598">
        <v>324.0</v>
      </c>
      <c r="G278" s="598">
        <v>436.0</v>
      </c>
      <c r="H278" s="598">
        <v>1.0</v>
      </c>
      <c r="I278" s="598">
        <v>1.0</v>
      </c>
      <c r="J278" s="598">
        <v>1.0</v>
      </c>
      <c r="K278" s="598">
        <v>1.0</v>
      </c>
      <c r="L278" s="597"/>
      <c r="M278" s="597"/>
      <c r="N278" s="597"/>
      <c r="O278" s="597"/>
      <c r="P278" s="597"/>
      <c r="Q278" s="598">
        <v>1.0</v>
      </c>
      <c r="R278" s="598"/>
      <c r="S278" s="598"/>
      <c r="T278" s="598" t="str">
        <f t="shared" si="1"/>
        <v/>
      </c>
      <c r="U278" s="597"/>
      <c r="V278" s="597"/>
      <c r="W278" s="597"/>
      <c r="X278" s="597"/>
      <c r="Y278" s="597"/>
      <c r="Z278" s="597"/>
      <c r="AA278" s="597"/>
      <c r="AB278" s="597"/>
      <c r="AC278" s="597"/>
      <c r="AD278" s="597"/>
      <c r="AE278" s="597"/>
      <c r="AF278" s="597"/>
      <c r="AG278" s="597"/>
    </row>
    <row r="279">
      <c r="B279" s="685" t="s">
        <v>2975</v>
      </c>
      <c r="C279" s="603" t="s">
        <v>4083</v>
      </c>
      <c r="D279" s="686" t="s">
        <v>4082</v>
      </c>
      <c r="E279" s="687"/>
      <c r="F279" s="598">
        <v>287.0</v>
      </c>
      <c r="G279" s="598">
        <v>285.0</v>
      </c>
      <c r="H279" s="598">
        <v>1.0</v>
      </c>
      <c r="I279" s="597"/>
      <c r="J279" s="598">
        <v>1.0</v>
      </c>
      <c r="K279" s="598">
        <v>1.0</v>
      </c>
      <c r="L279" s="597"/>
      <c r="M279" s="597"/>
      <c r="N279" s="598">
        <v>1.0</v>
      </c>
      <c r="O279" s="597"/>
      <c r="P279" s="597"/>
      <c r="Q279" s="598">
        <v>1.0</v>
      </c>
      <c r="R279" s="598"/>
      <c r="S279" s="598">
        <v>1.0</v>
      </c>
      <c r="T279" s="598" t="str">
        <f t="shared" si="1"/>
        <v/>
      </c>
      <c r="U279" s="597"/>
      <c r="V279" s="597"/>
      <c r="W279" s="597"/>
      <c r="X279" s="597"/>
      <c r="Y279" s="597"/>
      <c r="Z279" s="597"/>
      <c r="AA279" s="597"/>
      <c r="AB279" s="597"/>
      <c r="AC279" s="597"/>
      <c r="AD279" s="597"/>
      <c r="AE279" s="597"/>
      <c r="AF279" s="597"/>
      <c r="AG279" s="597"/>
    </row>
    <row r="280">
      <c r="B280" s="685" t="s">
        <v>2969</v>
      </c>
      <c r="C280" s="603" t="s">
        <v>4085</v>
      </c>
      <c r="D280" s="686" t="s">
        <v>4084</v>
      </c>
      <c r="E280" s="687"/>
      <c r="F280" s="598">
        <v>3.0</v>
      </c>
      <c r="G280" s="598">
        <v>2.0</v>
      </c>
      <c r="H280" s="598">
        <v>1.0</v>
      </c>
      <c r="I280" s="597"/>
      <c r="J280" s="597"/>
      <c r="K280" s="597"/>
      <c r="L280" s="597"/>
      <c r="M280" s="597"/>
      <c r="N280" s="598">
        <v>1.0</v>
      </c>
      <c r="O280" s="597"/>
      <c r="P280" s="597"/>
      <c r="Q280" s="598">
        <v>1.0</v>
      </c>
      <c r="R280" s="598">
        <v>1.0</v>
      </c>
      <c r="S280" s="598"/>
      <c r="T280" s="598" t="str">
        <f t="shared" si="1"/>
        <v/>
      </c>
      <c r="U280" s="597"/>
      <c r="V280" s="597"/>
      <c r="W280" s="597"/>
      <c r="X280" s="597"/>
      <c r="Y280" s="597"/>
      <c r="Z280" s="597"/>
      <c r="AA280" s="597"/>
      <c r="AB280" s="597"/>
      <c r="AC280" s="597"/>
      <c r="AD280" s="597"/>
      <c r="AE280" s="597"/>
      <c r="AF280" s="597"/>
      <c r="AG280" s="597"/>
    </row>
    <row r="281">
      <c r="B281" s="685" t="s">
        <v>2963</v>
      </c>
      <c r="C281" s="603" t="s">
        <v>4086</v>
      </c>
      <c r="D281" s="686" t="s">
        <v>4053</v>
      </c>
      <c r="E281" s="687"/>
      <c r="F281" s="598">
        <v>653.0</v>
      </c>
      <c r="G281" s="598">
        <v>484.0</v>
      </c>
      <c r="H281" s="598">
        <v>1.0</v>
      </c>
      <c r="I281" s="597"/>
      <c r="J281" s="598">
        <v>1.0</v>
      </c>
      <c r="K281" s="597"/>
      <c r="L281" s="597"/>
      <c r="M281" s="597"/>
      <c r="N281" s="597"/>
      <c r="O281" s="597"/>
      <c r="P281" s="597"/>
      <c r="Q281" s="598">
        <v>1.0</v>
      </c>
      <c r="R281" s="598"/>
      <c r="S281" s="598">
        <v>1.0</v>
      </c>
      <c r="T281" s="598" t="str">
        <f t="shared" si="1"/>
        <v/>
      </c>
      <c r="U281" s="597"/>
      <c r="V281" s="597"/>
      <c r="W281" s="597"/>
      <c r="X281" s="597"/>
      <c r="Y281" s="597"/>
      <c r="Z281" s="597"/>
      <c r="AA281" s="597"/>
      <c r="AB281" s="597"/>
      <c r="AC281" s="597"/>
      <c r="AD281" s="597"/>
      <c r="AE281" s="597"/>
      <c r="AF281" s="597"/>
      <c r="AG281" s="597"/>
    </row>
    <row r="282">
      <c r="B282" s="685" t="s">
        <v>2957</v>
      </c>
      <c r="C282" s="603" t="s">
        <v>4088</v>
      </c>
      <c r="D282" s="686" t="s">
        <v>4087</v>
      </c>
      <c r="E282" s="687"/>
      <c r="F282" s="598">
        <v>1162.0</v>
      </c>
      <c r="G282" s="598">
        <v>1334.0</v>
      </c>
      <c r="H282" s="598">
        <v>1.0</v>
      </c>
      <c r="I282" s="597"/>
      <c r="J282" s="598">
        <v>1.0</v>
      </c>
      <c r="K282" s="598">
        <v>1.0</v>
      </c>
      <c r="L282" s="597"/>
      <c r="M282" s="597"/>
      <c r="N282" s="598">
        <v>1.0</v>
      </c>
      <c r="O282" s="597"/>
      <c r="P282" s="597"/>
      <c r="Q282" s="598">
        <v>1.0</v>
      </c>
      <c r="R282" s="598"/>
      <c r="S282" s="598">
        <v>1.0</v>
      </c>
      <c r="T282" s="598" t="str">
        <f t="shared" si="1"/>
        <v/>
      </c>
      <c r="U282" s="597"/>
      <c r="V282" s="597"/>
      <c r="W282" s="597"/>
      <c r="X282" s="597"/>
      <c r="Y282" s="597"/>
      <c r="Z282" s="597"/>
      <c r="AA282" s="597"/>
      <c r="AB282" s="597"/>
      <c r="AC282" s="597"/>
      <c r="AD282" s="597"/>
      <c r="AE282" s="597"/>
      <c r="AF282" s="597"/>
      <c r="AG282" s="597"/>
    </row>
    <row r="283">
      <c r="B283" s="685" t="s">
        <v>2951</v>
      </c>
      <c r="C283" s="603" t="s">
        <v>4091</v>
      </c>
      <c r="D283" s="686" t="s">
        <v>4089</v>
      </c>
      <c r="E283" s="688" t="s">
        <v>3728</v>
      </c>
      <c r="F283" s="598">
        <v>431.0</v>
      </c>
      <c r="G283" s="598">
        <v>526.0</v>
      </c>
      <c r="H283" s="597"/>
      <c r="I283" s="597"/>
      <c r="J283" s="597"/>
      <c r="K283" s="597"/>
      <c r="L283" s="597"/>
      <c r="M283" s="597"/>
      <c r="N283" s="597"/>
      <c r="O283" s="597"/>
      <c r="P283" s="597"/>
      <c r="Q283" s="597"/>
      <c r="R283" s="598"/>
      <c r="S283" s="598"/>
      <c r="T283" s="598" t="str">
        <f t="shared" si="1"/>
        <v/>
      </c>
      <c r="U283" s="598">
        <v>1.0</v>
      </c>
      <c r="V283" s="598"/>
      <c r="W283" s="597"/>
      <c r="X283" s="597"/>
      <c r="Y283" s="597"/>
      <c r="Z283" s="597"/>
      <c r="AA283" s="597"/>
      <c r="AB283" s="597"/>
      <c r="AC283" s="597"/>
      <c r="AD283" s="597"/>
      <c r="AE283" s="597"/>
      <c r="AF283" s="597"/>
      <c r="AG283" s="597"/>
    </row>
    <row r="284">
      <c r="B284" s="685" t="s">
        <v>2945</v>
      </c>
      <c r="C284" s="603" t="s">
        <v>4093</v>
      </c>
      <c r="D284" s="686" t="s">
        <v>4092</v>
      </c>
      <c r="E284" s="688" t="s">
        <v>3728</v>
      </c>
      <c r="F284" s="598">
        <v>0.0</v>
      </c>
      <c r="G284" s="598">
        <v>0.0</v>
      </c>
      <c r="H284" s="597"/>
      <c r="I284" s="597"/>
      <c r="J284" s="597"/>
      <c r="K284" s="597"/>
      <c r="L284" s="597"/>
      <c r="M284" s="597"/>
      <c r="N284" s="597"/>
      <c r="O284" s="597"/>
      <c r="P284" s="597"/>
      <c r="Q284" s="597"/>
      <c r="R284" s="598"/>
      <c r="S284" s="598"/>
      <c r="T284" s="598" t="str">
        <f t="shared" si="1"/>
        <v/>
      </c>
      <c r="U284" s="597"/>
      <c r="V284" s="597"/>
      <c r="W284" s="597"/>
      <c r="X284" s="597"/>
      <c r="Y284" s="597"/>
      <c r="Z284" s="597"/>
      <c r="AA284" s="597"/>
      <c r="AB284" s="597"/>
      <c r="AC284" s="597"/>
      <c r="AD284" s="597"/>
      <c r="AE284" s="597"/>
      <c r="AF284" s="597"/>
      <c r="AG284" s="597"/>
    </row>
    <row r="285">
      <c r="B285" s="685" t="s">
        <v>2940</v>
      </c>
      <c r="C285" s="603" t="s">
        <v>4095</v>
      </c>
      <c r="D285" s="686" t="s">
        <v>4094</v>
      </c>
      <c r="E285" s="688" t="s">
        <v>3728</v>
      </c>
      <c r="F285" s="598">
        <v>293.0</v>
      </c>
      <c r="G285" s="598">
        <v>63.0</v>
      </c>
      <c r="H285" s="597"/>
      <c r="I285" s="597"/>
      <c r="J285" s="597"/>
      <c r="K285" s="597"/>
      <c r="L285" s="597"/>
      <c r="M285" s="597"/>
      <c r="N285" s="597"/>
      <c r="O285" s="597"/>
      <c r="P285" s="597"/>
      <c r="Q285" s="597"/>
      <c r="R285" s="598"/>
      <c r="S285" s="598"/>
      <c r="T285" s="598" t="str">
        <f t="shared" si="1"/>
        <v/>
      </c>
      <c r="U285" s="597"/>
      <c r="V285" s="597"/>
      <c r="W285" s="597"/>
      <c r="X285" s="597"/>
      <c r="Y285" s="597"/>
      <c r="Z285" s="597"/>
      <c r="AA285" s="597"/>
      <c r="AB285" s="597"/>
      <c r="AC285" s="597"/>
      <c r="AD285" s="597"/>
      <c r="AE285" s="597"/>
      <c r="AF285" s="597"/>
      <c r="AG285" s="597"/>
    </row>
    <row r="286">
      <c r="B286" s="685" t="s">
        <v>2934</v>
      </c>
      <c r="C286" s="603" t="s">
        <v>4097</v>
      </c>
      <c r="D286" s="686" t="s">
        <v>4096</v>
      </c>
      <c r="E286" s="688" t="s">
        <v>3728</v>
      </c>
      <c r="F286" s="598">
        <v>278.0</v>
      </c>
      <c r="G286" s="598">
        <v>270.0</v>
      </c>
      <c r="H286" s="597"/>
      <c r="I286" s="597"/>
      <c r="J286" s="597"/>
      <c r="K286" s="597"/>
      <c r="L286" s="597"/>
      <c r="M286" s="597"/>
      <c r="N286" s="597"/>
      <c r="O286" s="597"/>
      <c r="P286" s="597"/>
      <c r="Q286" s="597"/>
      <c r="R286" s="598"/>
      <c r="S286" s="598"/>
      <c r="T286" s="598" t="str">
        <f t="shared" si="1"/>
        <v/>
      </c>
      <c r="U286" s="597"/>
      <c r="V286" s="597"/>
      <c r="W286" s="597"/>
      <c r="X286" s="597"/>
      <c r="Y286" s="597"/>
      <c r="Z286" s="597"/>
      <c r="AA286" s="597"/>
      <c r="AB286" s="597"/>
      <c r="AC286" s="597"/>
      <c r="AD286" s="597"/>
      <c r="AE286" s="597"/>
      <c r="AF286" s="597"/>
      <c r="AG286" s="597"/>
    </row>
    <row r="287">
      <c r="B287" s="685" t="s">
        <v>2928</v>
      </c>
      <c r="C287" s="603" t="s">
        <v>4099</v>
      </c>
      <c r="D287" s="686" t="s">
        <v>4098</v>
      </c>
      <c r="E287" s="688" t="s">
        <v>3728</v>
      </c>
      <c r="F287" s="598">
        <v>23.0</v>
      </c>
      <c r="G287" s="598">
        <v>29.0</v>
      </c>
      <c r="H287" s="597"/>
      <c r="I287" s="597"/>
      <c r="J287" s="597"/>
      <c r="K287" s="597"/>
      <c r="L287" s="597"/>
      <c r="M287" s="597"/>
      <c r="N287" s="597"/>
      <c r="O287" s="597"/>
      <c r="P287" s="597"/>
      <c r="Q287" s="597"/>
      <c r="R287" s="598"/>
      <c r="S287" s="598"/>
      <c r="T287" s="598" t="str">
        <f t="shared" si="1"/>
        <v/>
      </c>
      <c r="U287" s="597"/>
      <c r="V287" s="597"/>
      <c r="W287" s="597"/>
      <c r="X287" s="597"/>
      <c r="Y287" s="597"/>
      <c r="Z287" s="597"/>
      <c r="AA287" s="597"/>
      <c r="AB287" s="597"/>
      <c r="AC287" s="597"/>
      <c r="AD287" s="597"/>
      <c r="AE287" s="597"/>
      <c r="AF287" s="597"/>
      <c r="AG287" s="597"/>
    </row>
    <row r="288">
      <c r="B288" s="685" t="s">
        <v>2922</v>
      </c>
      <c r="C288" s="603" t="s">
        <v>4101</v>
      </c>
      <c r="D288" s="686" t="s">
        <v>4100</v>
      </c>
      <c r="E288" s="688" t="s">
        <v>3728</v>
      </c>
      <c r="F288" s="598">
        <v>194.0</v>
      </c>
      <c r="G288" s="598">
        <v>262.0</v>
      </c>
      <c r="H288" s="597"/>
      <c r="I288" s="597"/>
      <c r="J288" s="597"/>
      <c r="K288" s="597"/>
      <c r="L288" s="597"/>
      <c r="M288" s="597"/>
      <c r="N288" s="597"/>
      <c r="O288" s="597"/>
      <c r="P288" s="597"/>
      <c r="Q288" s="597"/>
      <c r="R288" s="598"/>
      <c r="S288" s="598"/>
      <c r="T288" s="598" t="str">
        <f t="shared" si="1"/>
        <v/>
      </c>
      <c r="U288" s="597"/>
      <c r="V288" s="597"/>
      <c r="W288" s="597"/>
      <c r="X288" s="597"/>
      <c r="Y288" s="597"/>
      <c r="Z288" s="597"/>
      <c r="AA288" s="597"/>
      <c r="AB288" s="597"/>
      <c r="AC288" s="597"/>
      <c r="AD288" s="597"/>
      <c r="AE288" s="597"/>
      <c r="AF288" s="597"/>
      <c r="AG288" s="597"/>
    </row>
    <row r="289">
      <c r="B289" s="685" t="s">
        <v>2916</v>
      </c>
      <c r="C289" s="603" t="s">
        <v>4103</v>
      </c>
      <c r="D289" s="686" t="s">
        <v>4102</v>
      </c>
      <c r="E289" s="687"/>
      <c r="F289" s="598">
        <v>343.0</v>
      </c>
      <c r="G289" s="598">
        <v>315.0</v>
      </c>
      <c r="H289" s="598">
        <v>1.0</v>
      </c>
      <c r="I289" s="598">
        <v>1.0</v>
      </c>
      <c r="J289" s="598">
        <v>1.0</v>
      </c>
      <c r="K289" s="598">
        <v>1.0</v>
      </c>
      <c r="L289" s="597"/>
      <c r="M289" s="597"/>
      <c r="N289" s="597"/>
      <c r="O289" s="597"/>
      <c r="P289" s="597"/>
      <c r="Q289" s="598">
        <v>1.0</v>
      </c>
      <c r="R289" s="598"/>
      <c r="S289" s="598">
        <v>1.0</v>
      </c>
      <c r="T289" s="598" t="str">
        <f t="shared" si="1"/>
        <v/>
      </c>
      <c r="U289" s="597"/>
      <c r="V289" s="597"/>
      <c r="W289" s="597"/>
      <c r="X289" s="597"/>
      <c r="Y289" s="597"/>
      <c r="Z289" s="597"/>
      <c r="AA289" s="597"/>
      <c r="AB289" s="597"/>
      <c r="AC289" s="597"/>
      <c r="AD289" s="597"/>
      <c r="AE289" s="597"/>
      <c r="AF289" s="597"/>
      <c r="AG289" s="597"/>
    </row>
    <row r="290">
      <c r="B290" s="685" t="s">
        <v>2910</v>
      </c>
      <c r="C290" s="603" t="s">
        <v>4107</v>
      </c>
      <c r="D290" s="686" t="s">
        <v>4104</v>
      </c>
      <c r="E290" s="688" t="s">
        <v>3728</v>
      </c>
      <c r="F290" s="598">
        <v>213.0</v>
      </c>
      <c r="G290" s="598">
        <v>338.0</v>
      </c>
      <c r="H290" s="597"/>
      <c r="I290" s="597"/>
      <c r="J290" s="597"/>
      <c r="K290" s="597"/>
      <c r="L290" s="597"/>
      <c r="M290" s="597"/>
      <c r="N290" s="597"/>
      <c r="O290" s="597"/>
      <c r="P290" s="597"/>
      <c r="Q290" s="597"/>
      <c r="R290" s="598"/>
      <c r="S290" s="598"/>
      <c r="T290" s="598" t="str">
        <f t="shared" si="1"/>
        <v/>
      </c>
      <c r="U290" s="597"/>
      <c r="V290" s="597"/>
      <c r="W290" s="597"/>
      <c r="X290" s="597"/>
      <c r="Y290" s="597"/>
      <c r="Z290" s="597"/>
      <c r="AA290" s="597"/>
      <c r="AB290" s="597"/>
      <c r="AC290" s="597"/>
      <c r="AD290" s="597"/>
      <c r="AE290" s="597"/>
      <c r="AF290" s="597"/>
      <c r="AG290" s="597"/>
    </row>
    <row r="291">
      <c r="A291" s="679" t="s">
        <v>2834</v>
      </c>
      <c r="B291" s="680" t="s">
        <v>2903</v>
      </c>
      <c r="C291" s="592" t="s">
        <v>4108</v>
      </c>
      <c r="D291" s="681" t="s">
        <v>3128</v>
      </c>
      <c r="E291" s="682"/>
      <c r="F291" s="588">
        <v>630.0</v>
      </c>
      <c r="G291" s="588">
        <v>63.0</v>
      </c>
      <c r="H291" s="588">
        <v>1.0</v>
      </c>
      <c r="I291" s="588">
        <v>1.0</v>
      </c>
      <c r="J291" s="329"/>
      <c r="K291" s="329"/>
      <c r="L291" s="329"/>
      <c r="M291" s="588">
        <v>1.0</v>
      </c>
      <c r="N291" s="588">
        <v>1.0</v>
      </c>
      <c r="O291" s="588">
        <v>1.0</v>
      </c>
      <c r="P291" s="329"/>
      <c r="Q291" s="588">
        <v>1.0</v>
      </c>
      <c r="R291" s="588"/>
      <c r="S291" s="588"/>
      <c r="T291" s="588" t="str">
        <f t="shared" si="1"/>
        <v/>
      </c>
      <c r="U291" s="329"/>
      <c r="V291" s="329"/>
      <c r="W291" s="329"/>
      <c r="X291" s="329"/>
      <c r="Y291" s="329"/>
      <c r="Z291" s="329"/>
      <c r="AA291" s="329"/>
      <c r="AB291" s="329"/>
      <c r="AC291" s="329"/>
      <c r="AD291" s="329"/>
      <c r="AE291" s="329"/>
      <c r="AF291" s="329"/>
      <c r="AG291" s="329"/>
    </row>
    <row r="292">
      <c r="B292" s="680" t="s">
        <v>2897</v>
      </c>
      <c r="C292" s="592" t="s">
        <v>4111</v>
      </c>
      <c r="D292" s="681" t="s">
        <v>4109</v>
      </c>
      <c r="E292" s="682"/>
      <c r="F292" s="588">
        <v>368.0</v>
      </c>
      <c r="G292" s="588">
        <v>131.0</v>
      </c>
      <c r="H292" s="588">
        <v>1.0</v>
      </c>
      <c r="I292" s="588">
        <v>1.0</v>
      </c>
      <c r="J292" s="588">
        <v>1.0</v>
      </c>
      <c r="K292" s="588">
        <v>1.0</v>
      </c>
      <c r="L292" s="329"/>
      <c r="M292" s="588">
        <v>1.0</v>
      </c>
      <c r="N292" s="588">
        <v>1.0</v>
      </c>
      <c r="O292" s="329"/>
      <c r="P292" s="329"/>
      <c r="Q292" s="588">
        <v>1.0</v>
      </c>
      <c r="R292" s="588"/>
      <c r="S292" s="588"/>
      <c r="T292" s="588" t="str">
        <f t="shared" si="1"/>
        <v/>
      </c>
      <c r="U292" s="588">
        <v>1.0</v>
      </c>
      <c r="V292" s="588"/>
      <c r="W292" s="329"/>
      <c r="X292" s="329"/>
      <c r="Y292" s="329"/>
      <c r="Z292" s="329"/>
      <c r="AA292" s="329"/>
      <c r="AB292" s="329"/>
      <c r="AC292" s="329"/>
      <c r="AD292" s="329"/>
      <c r="AE292" s="329"/>
      <c r="AF292" s="329"/>
      <c r="AG292" s="329"/>
    </row>
    <row r="293">
      <c r="B293" s="680" t="s">
        <v>2892</v>
      </c>
      <c r="C293" s="592" t="s">
        <v>4113</v>
      </c>
      <c r="D293" s="681" t="s">
        <v>4112</v>
      </c>
      <c r="E293" s="683" t="s">
        <v>3728</v>
      </c>
      <c r="F293" s="588">
        <v>344.0</v>
      </c>
      <c r="G293" s="588">
        <v>448.0</v>
      </c>
      <c r="H293" s="329"/>
      <c r="I293" s="329"/>
      <c r="J293" s="329"/>
      <c r="K293" s="329"/>
      <c r="L293" s="329"/>
      <c r="M293" s="329"/>
      <c r="N293" s="329"/>
      <c r="O293" s="329"/>
      <c r="P293" s="329"/>
      <c r="Q293" s="329"/>
      <c r="R293" s="588"/>
      <c r="S293" s="588"/>
      <c r="T293" s="588" t="str">
        <f t="shared" si="1"/>
        <v/>
      </c>
      <c r="U293" s="329"/>
      <c r="V293" s="329"/>
      <c r="W293" s="329"/>
      <c r="X293" s="329"/>
      <c r="Y293" s="329"/>
      <c r="Z293" s="329"/>
      <c r="AA293" s="329"/>
      <c r="AB293" s="329"/>
      <c r="AC293" s="329"/>
      <c r="AD293" s="329"/>
      <c r="AE293" s="329"/>
      <c r="AF293" s="329"/>
      <c r="AG293" s="329"/>
    </row>
    <row r="294">
      <c r="B294" s="680" t="s">
        <v>2885</v>
      </c>
      <c r="C294" s="592" t="s">
        <v>4115</v>
      </c>
      <c r="D294" s="681" t="s">
        <v>4114</v>
      </c>
      <c r="E294" s="682"/>
      <c r="F294" s="588">
        <v>174.0</v>
      </c>
      <c r="G294" s="588">
        <v>193.0</v>
      </c>
      <c r="H294" s="329"/>
      <c r="I294" s="329"/>
      <c r="J294" s="588">
        <v>1.0</v>
      </c>
      <c r="K294" s="329"/>
      <c r="L294" s="329"/>
      <c r="M294" s="329"/>
      <c r="N294" s="329"/>
      <c r="O294" s="329"/>
      <c r="P294" s="329"/>
      <c r="Q294" s="588">
        <v>1.0</v>
      </c>
      <c r="R294" s="588"/>
      <c r="S294" s="588"/>
      <c r="T294" s="588" t="str">
        <f t="shared" si="1"/>
        <v/>
      </c>
      <c r="U294" s="329"/>
      <c r="V294" s="329"/>
      <c r="W294" s="329"/>
      <c r="X294" s="329"/>
      <c r="Y294" s="329"/>
      <c r="Z294" s="329"/>
      <c r="AA294" s="329"/>
      <c r="AB294" s="329"/>
      <c r="AC294" s="329"/>
      <c r="AD294" s="329"/>
      <c r="AE294" s="329"/>
      <c r="AF294" s="329"/>
      <c r="AG294" s="329"/>
    </row>
    <row r="295">
      <c r="B295" s="680" t="s">
        <v>2879</v>
      </c>
      <c r="C295" s="592" t="s">
        <v>4116</v>
      </c>
      <c r="D295" s="681" t="s">
        <v>3146</v>
      </c>
      <c r="E295" s="683" t="s">
        <v>3728</v>
      </c>
      <c r="F295" s="588">
        <v>130.0</v>
      </c>
      <c r="G295" s="588">
        <v>57.0</v>
      </c>
      <c r="H295" s="329"/>
      <c r="I295" s="329"/>
      <c r="J295" s="329"/>
      <c r="K295" s="329"/>
      <c r="L295" s="329"/>
      <c r="M295" s="329"/>
      <c r="N295" s="329"/>
      <c r="O295" s="329"/>
      <c r="P295" s="329"/>
      <c r="Q295" s="329"/>
      <c r="R295" s="588"/>
      <c r="S295" s="588"/>
      <c r="T295" s="588" t="str">
        <f t="shared" si="1"/>
        <v/>
      </c>
      <c r="U295" s="329"/>
      <c r="V295" s="329"/>
      <c r="W295" s="329"/>
      <c r="X295" s="329"/>
      <c r="Y295" s="329"/>
      <c r="Z295" s="329"/>
      <c r="AA295" s="329"/>
      <c r="AB295" s="329"/>
      <c r="AC295" s="329"/>
      <c r="AD295" s="329"/>
      <c r="AE295" s="329"/>
      <c r="AF295" s="329"/>
      <c r="AG295" s="329"/>
    </row>
    <row r="296">
      <c r="B296" s="680" t="s">
        <v>2873</v>
      </c>
      <c r="C296" s="592" t="s">
        <v>4118</v>
      </c>
      <c r="D296" s="681" t="s">
        <v>4117</v>
      </c>
      <c r="E296" s="682"/>
      <c r="F296" s="588">
        <v>93.0</v>
      </c>
      <c r="G296" s="588">
        <v>124.0</v>
      </c>
      <c r="H296" s="329"/>
      <c r="I296" s="329"/>
      <c r="J296" s="588">
        <v>1.0</v>
      </c>
      <c r="K296" s="329"/>
      <c r="L296" s="329"/>
      <c r="M296" s="329"/>
      <c r="N296" s="588"/>
      <c r="O296" s="588">
        <v>1.0</v>
      </c>
      <c r="P296" s="329"/>
      <c r="Q296" s="588">
        <v>1.0</v>
      </c>
      <c r="R296" s="588">
        <v>1.0</v>
      </c>
      <c r="S296" s="588"/>
      <c r="T296" s="588" t="str">
        <f t="shared" si="1"/>
        <v/>
      </c>
      <c r="U296" s="588">
        <v>1.0</v>
      </c>
      <c r="V296" s="329"/>
      <c r="W296" s="329"/>
      <c r="X296" s="329"/>
      <c r="Y296" s="329"/>
      <c r="Z296" s="329"/>
      <c r="AA296" s="329"/>
      <c r="AB296" s="329"/>
      <c r="AC296" s="329"/>
      <c r="AD296" s="329"/>
      <c r="AE296" s="329"/>
      <c r="AF296" s="329"/>
      <c r="AG296" s="329"/>
    </row>
    <row r="297">
      <c r="B297" s="680" t="s">
        <v>2867</v>
      </c>
      <c r="C297" s="592" t="s">
        <v>4120</v>
      </c>
      <c r="D297" s="681" t="s">
        <v>4119</v>
      </c>
      <c r="E297" s="682"/>
      <c r="F297" s="588">
        <v>212.0</v>
      </c>
      <c r="G297" s="588">
        <v>47.0</v>
      </c>
      <c r="H297" s="329"/>
      <c r="I297" s="329"/>
      <c r="J297" s="588">
        <v>1.0</v>
      </c>
      <c r="K297" s="329"/>
      <c r="L297" s="329"/>
      <c r="M297" s="329"/>
      <c r="N297" s="329"/>
      <c r="O297" s="329"/>
      <c r="P297" s="329"/>
      <c r="Q297" s="588">
        <v>1.0</v>
      </c>
      <c r="R297" s="588">
        <v>1.0</v>
      </c>
      <c r="S297" s="588"/>
      <c r="T297" s="588" t="str">
        <f t="shared" si="1"/>
        <v/>
      </c>
      <c r="U297" s="329"/>
      <c r="V297" s="329"/>
      <c r="W297" s="329"/>
      <c r="X297" s="329"/>
      <c r="Y297" s="329"/>
      <c r="Z297" s="329"/>
      <c r="AA297" s="329"/>
      <c r="AB297" s="329"/>
      <c r="AC297" s="329"/>
      <c r="AD297" s="329"/>
      <c r="AE297" s="329"/>
      <c r="AF297" s="329"/>
      <c r="AG297" s="329"/>
    </row>
    <row r="298">
      <c r="B298" s="680" t="s">
        <v>2861</v>
      </c>
      <c r="C298" s="592" t="s">
        <v>4122</v>
      </c>
      <c r="D298" s="681" t="s">
        <v>4121</v>
      </c>
      <c r="E298" s="683" t="s">
        <v>3728</v>
      </c>
      <c r="F298" s="588">
        <v>152.0</v>
      </c>
      <c r="G298" s="588">
        <v>12.0</v>
      </c>
      <c r="H298" s="329"/>
      <c r="I298" s="329"/>
      <c r="J298" s="329"/>
      <c r="K298" s="329"/>
      <c r="L298" s="329"/>
      <c r="M298" s="329"/>
      <c r="N298" s="329"/>
      <c r="O298" s="329"/>
      <c r="P298" s="329"/>
      <c r="Q298" s="329"/>
      <c r="R298" s="588"/>
      <c r="S298" s="588"/>
      <c r="T298" s="588" t="str">
        <f t="shared" si="1"/>
        <v/>
      </c>
      <c r="U298" s="329"/>
      <c r="V298" s="329"/>
      <c r="W298" s="329"/>
      <c r="X298" s="329"/>
      <c r="Y298" s="329"/>
      <c r="Z298" s="329"/>
      <c r="AA298" s="329"/>
      <c r="AB298" s="329"/>
      <c r="AC298" s="329"/>
      <c r="AD298" s="329"/>
      <c r="AE298" s="329"/>
      <c r="AF298" s="329"/>
      <c r="AG298" s="329"/>
    </row>
    <row r="299">
      <c r="B299" s="680" t="s">
        <v>2849</v>
      </c>
      <c r="C299" s="592" t="s">
        <v>4124</v>
      </c>
      <c r="D299" s="681" t="s">
        <v>4123</v>
      </c>
      <c r="E299" s="682"/>
      <c r="F299" s="588">
        <v>778.0</v>
      </c>
      <c r="G299" s="588">
        <v>184.0</v>
      </c>
      <c r="H299" s="329"/>
      <c r="I299" s="329"/>
      <c r="J299" s="588">
        <v>1.0</v>
      </c>
      <c r="K299" s="588">
        <v>1.0</v>
      </c>
      <c r="L299" s="329"/>
      <c r="M299" s="329"/>
      <c r="N299" s="329"/>
      <c r="O299" s="329"/>
      <c r="P299" s="329"/>
      <c r="Q299" s="588">
        <v>1.0</v>
      </c>
      <c r="R299" s="588"/>
      <c r="S299" s="588"/>
      <c r="T299" s="588" t="str">
        <f t="shared" si="1"/>
        <v/>
      </c>
      <c r="U299" s="329"/>
      <c r="V299" s="329"/>
      <c r="W299" s="329"/>
      <c r="X299" s="329"/>
      <c r="Y299" s="329"/>
      <c r="Z299" s="329"/>
      <c r="AA299" s="329"/>
      <c r="AB299" s="329"/>
      <c r="AC299" s="329"/>
      <c r="AD299" s="329"/>
      <c r="AE299" s="329"/>
      <c r="AF299" s="329"/>
      <c r="AG299" s="329"/>
    </row>
    <row r="300">
      <c r="B300" s="680" t="s">
        <v>2841</v>
      </c>
      <c r="C300" s="592" t="s">
        <v>4126</v>
      </c>
      <c r="D300" s="681" t="s">
        <v>4125</v>
      </c>
      <c r="E300" s="683" t="s">
        <v>3728</v>
      </c>
      <c r="F300" s="588">
        <v>662.0</v>
      </c>
      <c r="G300" s="588">
        <v>493.0</v>
      </c>
      <c r="H300" s="329"/>
      <c r="I300" s="329"/>
      <c r="J300" s="329"/>
      <c r="K300" s="329"/>
      <c r="L300" s="329"/>
      <c r="M300" s="329"/>
      <c r="N300" s="329"/>
      <c r="O300" s="329"/>
      <c r="P300" s="329"/>
      <c r="Q300" s="329"/>
      <c r="R300" s="588"/>
      <c r="S300" s="588"/>
      <c r="T300" s="588" t="str">
        <f t="shared" si="1"/>
        <v/>
      </c>
      <c r="U300" s="329"/>
      <c r="V300" s="329"/>
      <c r="W300" s="329"/>
      <c r="X300" s="329"/>
      <c r="Y300" s="329"/>
      <c r="Z300" s="329"/>
      <c r="AA300" s="329"/>
      <c r="AB300" s="329"/>
      <c r="AC300" s="329"/>
      <c r="AD300" s="329"/>
      <c r="AE300" s="329"/>
      <c r="AF300" s="329"/>
      <c r="AG300" s="329"/>
    </row>
    <row r="301">
      <c r="B301" s="680" t="s">
        <v>2835</v>
      </c>
      <c r="C301" s="592" t="s">
        <v>4128</v>
      </c>
      <c r="D301" s="681" t="s">
        <v>4127</v>
      </c>
      <c r="E301" s="683" t="s">
        <v>3728</v>
      </c>
      <c r="F301" s="588">
        <v>2028.0</v>
      </c>
      <c r="G301" s="588">
        <v>2425.0</v>
      </c>
      <c r="H301" s="329"/>
      <c r="I301" s="329"/>
      <c r="J301" s="329"/>
      <c r="K301" s="329"/>
      <c r="L301" s="329"/>
      <c r="M301" s="329"/>
      <c r="N301" s="329"/>
      <c r="O301" s="329"/>
      <c r="P301" s="329"/>
      <c r="Q301" s="329"/>
      <c r="R301" s="588"/>
      <c r="S301" s="588"/>
      <c r="T301" s="588" t="str">
        <f t="shared" si="1"/>
        <v/>
      </c>
      <c r="U301" s="329"/>
      <c r="V301" s="329"/>
      <c r="W301" s="329"/>
      <c r="X301" s="329"/>
      <c r="Y301" s="329"/>
      <c r="Z301" s="329"/>
      <c r="AA301" s="329"/>
      <c r="AB301" s="329"/>
      <c r="AC301" s="329"/>
      <c r="AD301" s="329"/>
      <c r="AE301" s="329"/>
      <c r="AF301" s="329"/>
      <c r="AG301" s="329"/>
    </row>
    <row r="302">
      <c r="A302" s="664" t="s">
        <v>3035</v>
      </c>
      <c r="B302" s="665" t="s">
        <v>3057</v>
      </c>
      <c r="C302" s="561" t="s">
        <v>4130</v>
      </c>
      <c r="D302" s="666" t="s">
        <v>4129</v>
      </c>
      <c r="E302" s="668"/>
      <c r="F302" s="556">
        <v>1725.0</v>
      </c>
      <c r="G302" s="556">
        <v>70.0</v>
      </c>
      <c r="H302" s="555"/>
      <c r="I302" s="555"/>
      <c r="J302" s="556">
        <v>1.0</v>
      </c>
      <c r="K302" s="556">
        <v>1.0</v>
      </c>
      <c r="L302" s="555"/>
      <c r="M302" s="555"/>
      <c r="N302" s="556">
        <v>1.0</v>
      </c>
      <c r="O302" s="555"/>
      <c r="P302" s="555"/>
      <c r="Q302" s="555"/>
      <c r="R302" s="556"/>
      <c r="S302" s="556"/>
      <c r="T302" s="556" t="str">
        <f t="shared" si="1"/>
        <v/>
      </c>
      <c r="U302" s="555"/>
      <c r="V302" s="555"/>
      <c r="W302" s="555"/>
      <c r="X302" s="555"/>
      <c r="Y302" s="555"/>
      <c r="Z302" s="555"/>
      <c r="AA302" s="555"/>
      <c r="AB302" s="555"/>
      <c r="AC302" s="555"/>
      <c r="AD302" s="555"/>
      <c r="AE302" s="555"/>
      <c r="AF302" s="555"/>
      <c r="AG302" s="555"/>
    </row>
    <row r="303">
      <c r="B303" s="665" t="s">
        <v>3052</v>
      </c>
      <c r="C303" s="561" t="s">
        <v>4133</v>
      </c>
      <c r="D303" s="666" t="s">
        <v>4131</v>
      </c>
      <c r="E303" s="667" t="s">
        <v>3728</v>
      </c>
      <c r="F303" s="556">
        <v>671.0</v>
      </c>
      <c r="G303" s="556">
        <v>634.0</v>
      </c>
      <c r="H303" s="555"/>
      <c r="I303" s="555"/>
      <c r="J303" s="555"/>
      <c r="K303" s="555"/>
      <c r="L303" s="555"/>
      <c r="M303" s="555"/>
      <c r="N303" s="555"/>
      <c r="O303" s="555"/>
      <c r="P303" s="555"/>
      <c r="Q303" s="555"/>
      <c r="R303" s="556"/>
      <c r="S303" s="556"/>
      <c r="T303" s="556" t="str">
        <f t="shared" si="1"/>
        <v/>
      </c>
      <c r="U303" s="555"/>
      <c r="V303" s="555"/>
      <c r="W303" s="555"/>
      <c r="X303" s="555"/>
      <c r="Y303" s="555"/>
      <c r="Z303" s="555"/>
      <c r="AA303" s="555"/>
      <c r="AB303" s="555"/>
      <c r="AC303" s="555"/>
      <c r="AD303" s="555"/>
      <c r="AE303" s="555"/>
      <c r="AF303" s="555"/>
      <c r="AG303" s="555"/>
    </row>
    <row r="304">
      <c r="B304" s="665" t="s">
        <v>3046</v>
      </c>
      <c r="C304" s="556" t="s">
        <v>4136</v>
      </c>
      <c r="D304" s="666" t="s">
        <v>4134</v>
      </c>
      <c r="E304" s="668"/>
      <c r="F304" s="555"/>
      <c r="G304" s="555"/>
      <c r="H304" s="555"/>
      <c r="I304" s="555"/>
      <c r="J304" s="555"/>
      <c r="K304" s="555"/>
      <c r="L304" s="555"/>
      <c r="M304" s="555"/>
      <c r="N304" s="555"/>
      <c r="O304" s="555"/>
      <c r="P304" s="555"/>
      <c r="Q304" s="555"/>
      <c r="R304" s="556"/>
      <c r="S304" s="556"/>
      <c r="T304" s="556">
        <f t="shared" si="1"/>
        <v>1</v>
      </c>
      <c r="U304" s="555"/>
      <c r="V304" s="555"/>
      <c r="W304" s="555"/>
      <c r="X304" s="555"/>
      <c r="Y304" s="555"/>
      <c r="Z304" s="555"/>
      <c r="AA304" s="555"/>
      <c r="AB304" s="555"/>
      <c r="AC304" s="555"/>
      <c r="AD304" s="555"/>
      <c r="AE304" s="555"/>
      <c r="AF304" s="555"/>
      <c r="AG304" s="555"/>
    </row>
    <row r="305">
      <c r="B305" s="665" t="s">
        <v>3041</v>
      </c>
      <c r="C305" s="556" t="s">
        <v>4136</v>
      </c>
      <c r="D305" s="666" t="s">
        <v>4137</v>
      </c>
      <c r="E305" s="668"/>
      <c r="F305" s="555"/>
      <c r="G305" s="555"/>
      <c r="H305" s="555"/>
      <c r="I305" s="555"/>
      <c r="J305" s="555"/>
      <c r="K305" s="555"/>
      <c r="L305" s="555"/>
      <c r="M305" s="555"/>
      <c r="N305" s="555"/>
      <c r="O305" s="555"/>
      <c r="P305" s="555"/>
      <c r="Q305" s="555"/>
      <c r="R305" s="556"/>
      <c r="S305" s="556"/>
      <c r="T305" s="556">
        <f t="shared" si="1"/>
        <v>1</v>
      </c>
      <c r="U305" s="555"/>
      <c r="V305" s="555"/>
      <c r="W305" s="555"/>
      <c r="X305" s="555"/>
      <c r="Y305" s="555"/>
      <c r="Z305" s="555"/>
      <c r="AA305" s="555"/>
      <c r="AB305" s="555"/>
      <c r="AC305" s="555"/>
      <c r="AD305" s="555"/>
      <c r="AE305" s="555"/>
      <c r="AF305" s="555"/>
      <c r="AG305" s="555"/>
    </row>
    <row r="306">
      <c r="B306" s="665" t="s">
        <v>3036</v>
      </c>
      <c r="C306" s="561" t="s">
        <v>4139</v>
      </c>
      <c r="D306" s="666" t="s">
        <v>4138</v>
      </c>
      <c r="E306" s="668"/>
      <c r="F306" s="556">
        <v>3412.0</v>
      </c>
      <c r="G306" s="556">
        <v>331.0</v>
      </c>
      <c r="H306" s="556">
        <v>1.0</v>
      </c>
      <c r="I306" s="555"/>
      <c r="J306" s="556">
        <v>1.0</v>
      </c>
      <c r="K306" s="556">
        <v>1.0</v>
      </c>
      <c r="L306" s="555"/>
      <c r="M306" s="555"/>
      <c r="N306" s="556">
        <v>1.0</v>
      </c>
      <c r="O306" s="555"/>
      <c r="P306" s="555"/>
      <c r="Q306" s="555"/>
      <c r="R306" s="556"/>
      <c r="S306" s="556"/>
      <c r="T306" s="556" t="str">
        <f t="shared" si="1"/>
        <v/>
      </c>
      <c r="U306" s="555"/>
      <c r="V306" s="555"/>
      <c r="W306" s="555"/>
      <c r="X306" s="555"/>
      <c r="Y306" s="555"/>
      <c r="Z306" s="555"/>
      <c r="AA306" s="555"/>
      <c r="AB306" s="555"/>
      <c r="AC306" s="555"/>
      <c r="AD306" s="555"/>
      <c r="AE306" s="555"/>
      <c r="AF306" s="555"/>
      <c r="AG306" s="555"/>
    </row>
    <row r="307">
      <c r="A307" s="684" t="s">
        <v>3008</v>
      </c>
      <c r="B307" s="685" t="s">
        <v>3028</v>
      </c>
      <c r="C307" s="603" t="s">
        <v>4140</v>
      </c>
      <c r="D307" s="686" t="s">
        <v>3128</v>
      </c>
      <c r="E307" s="687"/>
      <c r="F307" s="598">
        <v>2719.0</v>
      </c>
      <c r="G307" s="598">
        <v>711.0</v>
      </c>
      <c r="H307" s="598">
        <v>1.0</v>
      </c>
      <c r="I307" s="598">
        <v>1.0</v>
      </c>
      <c r="J307" s="598">
        <v>1.0</v>
      </c>
      <c r="K307" s="598">
        <v>1.0</v>
      </c>
      <c r="L307" s="598">
        <v>1.0</v>
      </c>
      <c r="M307" s="598">
        <v>1.0</v>
      </c>
      <c r="N307" s="597"/>
      <c r="O307" s="598">
        <v>1.0</v>
      </c>
      <c r="P307" s="597"/>
      <c r="Q307" s="598">
        <v>1.0</v>
      </c>
      <c r="R307" s="598"/>
      <c r="S307" s="598">
        <v>1.0</v>
      </c>
      <c r="T307" s="598" t="str">
        <f t="shared" si="1"/>
        <v/>
      </c>
      <c r="U307" s="597"/>
      <c r="V307" s="597"/>
      <c r="W307" s="597"/>
      <c r="X307" s="597"/>
      <c r="Y307" s="597"/>
      <c r="Z307" s="597"/>
      <c r="AA307" s="597"/>
      <c r="AB307" s="597"/>
      <c r="AC307" s="597"/>
      <c r="AD307" s="597"/>
      <c r="AE307" s="597"/>
      <c r="AF307" s="597"/>
      <c r="AG307" s="597"/>
    </row>
    <row r="308">
      <c r="B308" s="685" t="s">
        <v>3023</v>
      </c>
      <c r="C308" s="603" t="s">
        <v>4142</v>
      </c>
      <c r="D308" s="686" t="s">
        <v>4141</v>
      </c>
      <c r="E308" s="687"/>
      <c r="F308" s="598">
        <v>823.0</v>
      </c>
      <c r="G308" s="598">
        <v>468.0</v>
      </c>
      <c r="H308" s="598">
        <v>1.0</v>
      </c>
      <c r="I308" s="598">
        <v>1.0</v>
      </c>
      <c r="J308" s="598">
        <v>1.0</v>
      </c>
      <c r="K308" s="598">
        <v>1.0</v>
      </c>
      <c r="L308" s="597"/>
      <c r="M308" s="598">
        <v>1.0</v>
      </c>
      <c r="N308" s="598">
        <v>1.0</v>
      </c>
      <c r="O308" s="598">
        <v>1.0</v>
      </c>
      <c r="P308" s="597"/>
      <c r="Q308" s="598">
        <v>1.0</v>
      </c>
      <c r="R308" s="598"/>
      <c r="S308" s="598"/>
      <c r="T308" s="598" t="str">
        <f t="shared" si="1"/>
        <v/>
      </c>
      <c r="U308" s="597"/>
      <c r="V308" s="597"/>
      <c r="W308" s="597"/>
      <c r="X308" s="597"/>
      <c r="Y308" s="597"/>
      <c r="Z308" s="597"/>
      <c r="AA308" s="597"/>
      <c r="AB308" s="597"/>
      <c r="AC308" s="597"/>
      <c r="AD308" s="597"/>
      <c r="AE308" s="597"/>
      <c r="AF308" s="597"/>
      <c r="AG308" s="597"/>
    </row>
    <row r="309">
      <c r="B309" s="685" t="s">
        <v>3016</v>
      </c>
      <c r="C309" s="603" t="s">
        <v>4139</v>
      </c>
      <c r="D309" s="686" t="s">
        <v>3017</v>
      </c>
      <c r="E309" s="687"/>
      <c r="F309" s="598">
        <v>3412.0</v>
      </c>
      <c r="G309" s="598">
        <v>331.0</v>
      </c>
      <c r="H309" s="608">
        <v>1.0</v>
      </c>
      <c r="I309" s="597"/>
      <c r="J309" s="608">
        <v>1.0</v>
      </c>
      <c r="K309" s="608">
        <v>1.0</v>
      </c>
      <c r="L309" s="597"/>
      <c r="M309" s="597"/>
      <c r="N309" s="608">
        <v>1.0</v>
      </c>
      <c r="O309" s="597"/>
      <c r="P309" s="597"/>
      <c r="Q309" s="597"/>
      <c r="R309" s="598"/>
      <c r="S309" s="598"/>
      <c r="T309" s="598"/>
      <c r="U309" s="597"/>
      <c r="V309" s="597"/>
      <c r="W309" s="597"/>
      <c r="X309" s="597"/>
      <c r="Y309" s="597"/>
      <c r="Z309" s="597"/>
      <c r="AA309" s="597"/>
      <c r="AB309" s="597"/>
      <c r="AC309" s="597"/>
      <c r="AD309" s="597"/>
      <c r="AE309" s="597"/>
      <c r="AF309" s="597"/>
      <c r="AG309" s="597"/>
    </row>
    <row r="310">
      <c r="B310" s="685" t="s">
        <v>3009</v>
      </c>
      <c r="C310" s="608" t="s">
        <v>4136</v>
      </c>
      <c r="D310" s="686" t="s">
        <v>3010</v>
      </c>
      <c r="E310" s="687"/>
      <c r="F310" s="597"/>
      <c r="G310" s="597"/>
      <c r="H310" s="597"/>
      <c r="I310" s="597"/>
      <c r="J310" s="597"/>
      <c r="K310" s="597"/>
      <c r="L310" s="597"/>
      <c r="M310" s="597"/>
      <c r="N310" s="597"/>
      <c r="O310" s="597"/>
      <c r="P310" s="597"/>
      <c r="Q310" s="597"/>
      <c r="R310" s="598"/>
      <c r="S310" s="598"/>
      <c r="T310" s="598">
        <f t="shared" ref="T310:T411" si="2">if(C310 = "No fork...", 1,)</f>
        <v>1</v>
      </c>
      <c r="U310" s="597"/>
      <c r="V310" s="597"/>
      <c r="W310" s="597"/>
      <c r="X310" s="597"/>
      <c r="Y310" s="597"/>
      <c r="Z310" s="597"/>
      <c r="AA310" s="597"/>
      <c r="AB310" s="597"/>
      <c r="AC310" s="597"/>
      <c r="AD310" s="597"/>
      <c r="AE310" s="597"/>
      <c r="AF310" s="597"/>
      <c r="AG310" s="597"/>
    </row>
    <row r="311">
      <c r="A311" s="651" t="s">
        <v>3155</v>
      </c>
      <c r="B311" s="525" t="s">
        <v>3215</v>
      </c>
      <c r="C311" s="533" t="s">
        <v>4145</v>
      </c>
      <c r="D311" s="526" t="s">
        <v>4144</v>
      </c>
      <c r="E311" s="652"/>
      <c r="F311" s="528">
        <v>176.0</v>
      </c>
      <c r="G311" s="528">
        <v>26.0</v>
      </c>
      <c r="H311" s="527"/>
      <c r="I311" s="527"/>
      <c r="J311" s="527"/>
      <c r="K311" s="527"/>
      <c r="L311" s="527"/>
      <c r="M311" s="527"/>
      <c r="N311" s="528">
        <v>1.0</v>
      </c>
      <c r="O311" s="527"/>
      <c r="P311" s="527"/>
      <c r="Q311" s="528">
        <v>1.0</v>
      </c>
      <c r="R311" s="528"/>
      <c r="S311" s="528"/>
      <c r="T311" s="528" t="str">
        <f t="shared" si="2"/>
        <v/>
      </c>
      <c r="U311" s="527"/>
      <c r="V311" s="527"/>
      <c r="W311" s="527"/>
      <c r="X311" s="527"/>
      <c r="Y311" s="527"/>
      <c r="Z311" s="527"/>
      <c r="AA311" s="527"/>
      <c r="AB311" s="527"/>
      <c r="AC311" s="527"/>
      <c r="AD311" s="527"/>
      <c r="AE311" s="527"/>
      <c r="AF311" s="527"/>
      <c r="AG311" s="527"/>
    </row>
    <row r="312">
      <c r="B312" s="525" t="s">
        <v>3211</v>
      </c>
      <c r="C312" s="533" t="s">
        <v>4147</v>
      </c>
      <c r="D312" s="526" t="s">
        <v>4146</v>
      </c>
      <c r="E312" s="652"/>
      <c r="F312" s="528">
        <v>463.0</v>
      </c>
      <c r="G312" s="528">
        <v>433.0</v>
      </c>
      <c r="H312" s="528">
        <v>1.0</v>
      </c>
      <c r="I312" s="527"/>
      <c r="J312" s="528">
        <v>1.0</v>
      </c>
      <c r="K312" s="528">
        <v>1.0</v>
      </c>
      <c r="L312" s="527"/>
      <c r="M312" s="528">
        <v>1.0</v>
      </c>
      <c r="N312" s="528">
        <v>1.0</v>
      </c>
      <c r="O312" s="527"/>
      <c r="P312" s="527"/>
      <c r="Q312" s="527"/>
      <c r="R312" s="528"/>
      <c r="S312" s="528"/>
      <c r="T312" s="528" t="str">
        <f t="shared" si="2"/>
        <v/>
      </c>
      <c r="U312" s="527"/>
      <c r="V312" s="527"/>
      <c r="W312" s="527"/>
      <c r="X312" s="527"/>
      <c r="Y312" s="527"/>
      <c r="Z312" s="527"/>
      <c r="AA312" s="527"/>
      <c r="AB312" s="527"/>
      <c r="AC312" s="527"/>
      <c r="AD312" s="527"/>
      <c r="AE312" s="527"/>
      <c r="AF312" s="527"/>
      <c r="AG312" s="527"/>
    </row>
    <row r="313">
      <c r="B313" s="525" t="s">
        <v>3207</v>
      </c>
      <c r="C313" s="533" t="s">
        <v>4149</v>
      </c>
      <c r="D313" s="526" t="s">
        <v>4148</v>
      </c>
      <c r="E313" s="652"/>
      <c r="F313" s="528">
        <v>778.0</v>
      </c>
      <c r="G313" s="528">
        <v>285.0</v>
      </c>
      <c r="H313" s="528">
        <v>1.0</v>
      </c>
      <c r="I313" s="528">
        <v>1.0</v>
      </c>
      <c r="J313" s="528">
        <v>1.0</v>
      </c>
      <c r="K313" s="528">
        <v>1.0</v>
      </c>
      <c r="L313" s="527"/>
      <c r="M313" s="528">
        <v>1.0</v>
      </c>
      <c r="N313" s="528">
        <v>1.0</v>
      </c>
      <c r="O313" s="527"/>
      <c r="P313" s="527"/>
      <c r="Q313" s="527"/>
      <c r="R313" s="528"/>
      <c r="S313" s="528">
        <v>1.0</v>
      </c>
      <c r="T313" s="528" t="str">
        <f t="shared" si="2"/>
        <v/>
      </c>
      <c r="U313" s="527"/>
      <c r="V313" s="527"/>
      <c r="W313" s="527"/>
      <c r="X313" s="527"/>
      <c r="Y313" s="527"/>
      <c r="Z313" s="527"/>
      <c r="AA313" s="527"/>
      <c r="AB313" s="527"/>
      <c r="AC313" s="527"/>
      <c r="AD313" s="527"/>
      <c r="AE313" s="527"/>
      <c r="AF313" s="527"/>
      <c r="AG313" s="527"/>
    </row>
    <row r="314">
      <c r="B314" s="525" t="s">
        <v>3203</v>
      </c>
      <c r="C314" s="533" t="s">
        <v>4152</v>
      </c>
      <c r="D314" s="526" t="s">
        <v>4150</v>
      </c>
      <c r="E314" s="652"/>
      <c r="F314" s="528">
        <v>657.0</v>
      </c>
      <c r="G314" s="528">
        <v>212.0</v>
      </c>
      <c r="H314" s="528">
        <v>1.0</v>
      </c>
      <c r="I314" s="527"/>
      <c r="J314" s="528">
        <v>1.0</v>
      </c>
      <c r="K314" s="527"/>
      <c r="L314" s="527"/>
      <c r="M314" s="527"/>
      <c r="N314" s="528">
        <v>1.0</v>
      </c>
      <c r="O314" s="527"/>
      <c r="P314" s="527"/>
      <c r="Q314" s="528">
        <v>1.0</v>
      </c>
      <c r="R314" s="528">
        <v>1.0</v>
      </c>
      <c r="S314" s="528"/>
      <c r="T314" s="528" t="str">
        <f t="shared" si="2"/>
        <v/>
      </c>
      <c r="U314" s="527"/>
      <c r="V314" s="528"/>
      <c r="W314" s="527"/>
      <c r="X314" s="527"/>
      <c r="Y314" s="527"/>
      <c r="Z314" s="527"/>
      <c r="AA314" s="527"/>
      <c r="AB314" s="527"/>
      <c r="AC314" s="527"/>
      <c r="AD314" s="527"/>
      <c r="AE314" s="527"/>
      <c r="AF314" s="527"/>
      <c r="AG314" s="527"/>
    </row>
    <row r="315">
      <c r="B315" s="525" t="s">
        <v>3199</v>
      </c>
      <c r="C315" s="615" t="s">
        <v>4136</v>
      </c>
      <c r="D315" s="526" t="s">
        <v>4153</v>
      </c>
      <c r="E315" s="652"/>
      <c r="F315" s="527"/>
      <c r="G315" s="527"/>
      <c r="H315" s="527"/>
      <c r="I315" s="527"/>
      <c r="J315" s="527"/>
      <c r="K315" s="527"/>
      <c r="L315" s="527"/>
      <c r="M315" s="527"/>
      <c r="N315" s="527"/>
      <c r="O315" s="527"/>
      <c r="P315" s="527"/>
      <c r="Q315" s="527"/>
      <c r="R315" s="528"/>
      <c r="S315" s="528"/>
      <c r="T315" s="528">
        <f t="shared" si="2"/>
        <v>1</v>
      </c>
      <c r="U315" s="527"/>
      <c r="V315" s="527"/>
      <c r="W315" s="527"/>
      <c r="X315" s="527"/>
      <c r="Y315" s="527"/>
      <c r="Z315" s="527"/>
      <c r="AA315" s="527"/>
      <c r="AB315" s="527"/>
      <c r="AC315" s="527"/>
      <c r="AD315" s="527"/>
      <c r="AE315" s="527"/>
      <c r="AF315" s="527"/>
      <c r="AG315" s="527"/>
    </row>
    <row r="316">
      <c r="B316" s="525" t="s">
        <v>3196</v>
      </c>
      <c r="C316" s="533" t="s">
        <v>4156</v>
      </c>
      <c r="D316" s="526" t="s">
        <v>4154</v>
      </c>
      <c r="E316" s="652"/>
      <c r="F316" s="528">
        <v>1254.0</v>
      </c>
      <c r="G316" s="528">
        <v>1155.0</v>
      </c>
      <c r="H316" s="528">
        <v>1.0</v>
      </c>
      <c r="I316" s="528">
        <v>1.0</v>
      </c>
      <c r="J316" s="528">
        <v>1.0</v>
      </c>
      <c r="K316" s="527"/>
      <c r="L316" s="527"/>
      <c r="M316" s="527"/>
      <c r="N316" s="527"/>
      <c r="O316" s="527"/>
      <c r="P316" s="527"/>
      <c r="Q316" s="528">
        <v>1.0</v>
      </c>
      <c r="R316" s="528">
        <v>1.0</v>
      </c>
      <c r="S316" s="528"/>
      <c r="T316" s="528" t="str">
        <f t="shared" si="2"/>
        <v/>
      </c>
      <c r="U316" s="528">
        <v>1.0</v>
      </c>
      <c r="V316" s="528"/>
      <c r="W316" s="527"/>
      <c r="X316" s="527"/>
      <c r="Y316" s="527"/>
      <c r="Z316" s="527"/>
      <c r="AA316" s="527"/>
      <c r="AB316" s="527"/>
      <c r="AC316" s="527"/>
      <c r="AD316" s="527"/>
      <c r="AE316" s="527"/>
      <c r="AF316" s="527"/>
      <c r="AG316" s="527"/>
    </row>
    <row r="317">
      <c r="B317" s="525" t="s">
        <v>3192</v>
      </c>
      <c r="C317" s="533" t="s">
        <v>4158</v>
      </c>
      <c r="D317" s="526" t="s">
        <v>4157</v>
      </c>
      <c r="E317" s="652"/>
      <c r="F317" s="528">
        <v>318.0</v>
      </c>
      <c r="G317" s="528">
        <v>402.0</v>
      </c>
      <c r="H317" s="528">
        <v>1.0</v>
      </c>
      <c r="I317" s="527"/>
      <c r="J317" s="528">
        <v>1.0</v>
      </c>
      <c r="K317" s="527"/>
      <c r="L317" s="527"/>
      <c r="M317" s="528">
        <v>1.0</v>
      </c>
      <c r="N317" s="527"/>
      <c r="O317" s="527"/>
      <c r="P317" s="527"/>
      <c r="Q317" s="528">
        <v>1.0</v>
      </c>
      <c r="R317" s="528">
        <v>1.0</v>
      </c>
      <c r="S317" s="528"/>
      <c r="T317" s="528" t="str">
        <f t="shared" si="2"/>
        <v/>
      </c>
      <c r="U317" s="527"/>
      <c r="V317" s="527"/>
      <c r="W317" s="527"/>
      <c r="X317" s="527"/>
      <c r="Y317" s="527"/>
      <c r="Z317" s="527"/>
      <c r="AA317" s="527"/>
      <c r="AB317" s="527"/>
      <c r="AC317" s="527"/>
      <c r="AD317" s="527"/>
      <c r="AE317" s="527"/>
      <c r="AF317" s="527"/>
      <c r="AG317" s="527"/>
    </row>
    <row r="318">
      <c r="B318" s="525" t="s">
        <v>3188</v>
      </c>
      <c r="C318" s="533" t="s">
        <v>4160</v>
      </c>
      <c r="D318" s="526" t="s">
        <v>4159</v>
      </c>
      <c r="E318" s="652"/>
      <c r="F318" s="528">
        <v>581.0</v>
      </c>
      <c r="G318" s="528">
        <v>436.0</v>
      </c>
      <c r="H318" s="528">
        <v>1.0</v>
      </c>
      <c r="I318" s="527"/>
      <c r="J318" s="528">
        <v>1.0</v>
      </c>
      <c r="K318" s="527"/>
      <c r="L318" s="528">
        <v>1.0</v>
      </c>
      <c r="M318" s="527"/>
      <c r="N318" s="528">
        <v>1.0</v>
      </c>
      <c r="O318" s="527"/>
      <c r="P318" s="527"/>
      <c r="Q318" s="528">
        <v>1.0</v>
      </c>
      <c r="R318" s="528">
        <v>1.0</v>
      </c>
      <c r="S318" s="528"/>
      <c r="T318" s="528" t="str">
        <f t="shared" si="2"/>
        <v/>
      </c>
      <c r="U318" s="527"/>
      <c r="V318" s="527"/>
      <c r="W318" s="527"/>
      <c r="X318" s="527"/>
      <c r="Y318" s="527"/>
      <c r="Z318" s="527"/>
      <c r="AA318" s="527"/>
      <c r="AB318" s="527"/>
      <c r="AC318" s="527"/>
      <c r="AD318" s="527"/>
      <c r="AE318" s="527"/>
      <c r="AF318" s="527"/>
      <c r="AG318" s="527"/>
    </row>
    <row r="319">
      <c r="B319" s="525" t="s">
        <v>3184</v>
      </c>
      <c r="C319" s="533" t="s">
        <v>4162</v>
      </c>
      <c r="D319" s="526" t="s">
        <v>4161</v>
      </c>
      <c r="E319" s="652"/>
      <c r="F319" s="528">
        <v>192.0</v>
      </c>
      <c r="G319" s="528">
        <v>50.0</v>
      </c>
      <c r="H319" s="528">
        <v>1.0</v>
      </c>
      <c r="I319" s="528">
        <v>1.0</v>
      </c>
      <c r="J319" s="528">
        <v>1.0</v>
      </c>
      <c r="K319" s="528">
        <v>1.0</v>
      </c>
      <c r="L319" s="527"/>
      <c r="M319" s="528">
        <v>1.0</v>
      </c>
      <c r="N319" s="528">
        <v>1.0</v>
      </c>
      <c r="O319" s="527"/>
      <c r="P319" s="527"/>
      <c r="Q319" s="528">
        <v>1.0</v>
      </c>
      <c r="R319" s="528"/>
      <c r="S319" s="528"/>
      <c r="T319" s="528" t="str">
        <f t="shared" si="2"/>
        <v/>
      </c>
      <c r="U319" s="527"/>
      <c r="V319" s="527"/>
      <c r="W319" s="527"/>
      <c r="X319" s="527"/>
      <c r="Y319" s="527"/>
      <c r="Z319" s="527"/>
      <c r="AA319" s="527"/>
      <c r="AB319" s="527"/>
      <c r="AC319" s="527"/>
      <c r="AD319" s="527"/>
      <c r="AE319" s="527"/>
      <c r="AF319" s="527"/>
      <c r="AG319" s="527"/>
    </row>
    <row r="320">
      <c r="B320" s="525" t="s">
        <v>3180</v>
      </c>
      <c r="C320" s="528" t="s">
        <v>4136</v>
      </c>
      <c r="D320" s="526" t="s">
        <v>4163</v>
      </c>
      <c r="E320" s="652"/>
      <c r="F320" s="527"/>
      <c r="G320" s="527"/>
      <c r="H320" s="527"/>
      <c r="I320" s="527"/>
      <c r="J320" s="527"/>
      <c r="K320" s="527"/>
      <c r="L320" s="527"/>
      <c r="M320" s="527"/>
      <c r="N320" s="527"/>
      <c r="O320" s="527"/>
      <c r="P320" s="527"/>
      <c r="Q320" s="527"/>
      <c r="R320" s="528"/>
      <c r="S320" s="528"/>
      <c r="T320" s="528">
        <f t="shared" si="2"/>
        <v>1</v>
      </c>
      <c r="U320" s="527"/>
      <c r="V320" s="527"/>
      <c r="W320" s="527"/>
      <c r="X320" s="527"/>
      <c r="Y320" s="527"/>
      <c r="Z320" s="527"/>
      <c r="AA320" s="527"/>
      <c r="AB320" s="527"/>
      <c r="AC320" s="527"/>
      <c r="AD320" s="527"/>
      <c r="AE320" s="527"/>
      <c r="AF320" s="527"/>
      <c r="AG320" s="527"/>
    </row>
    <row r="321">
      <c r="B321" s="525" t="s">
        <v>3176</v>
      </c>
      <c r="C321" s="528" t="s">
        <v>4136</v>
      </c>
      <c r="D321" s="526" t="s">
        <v>4165</v>
      </c>
      <c r="E321" s="652"/>
      <c r="F321" s="527"/>
      <c r="G321" s="527"/>
      <c r="H321" s="527"/>
      <c r="I321" s="527"/>
      <c r="J321" s="527"/>
      <c r="K321" s="527"/>
      <c r="L321" s="527"/>
      <c r="M321" s="527"/>
      <c r="N321" s="527"/>
      <c r="O321" s="527"/>
      <c r="P321" s="527"/>
      <c r="Q321" s="527"/>
      <c r="R321" s="528"/>
      <c r="S321" s="528"/>
      <c r="T321" s="528">
        <f t="shared" si="2"/>
        <v>1</v>
      </c>
      <c r="U321" s="527"/>
      <c r="V321" s="527"/>
      <c r="W321" s="527"/>
      <c r="X321" s="527"/>
      <c r="Y321" s="527"/>
      <c r="Z321" s="527"/>
      <c r="AA321" s="527"/>
      <c r="AB321" s="527"/>
      <c r="AC321" s="527"/>
      <c r="AD321" s="527"/>
      <c r="AE321" s="527"/>
      <c r="AF321" s="527"/>
      <c r="AG321" s="527"/>
    </row>
    <row r="322">
      <c r="B322" s="525" t="s">
        <v>3172</v>
      </c>
      <c r="C322" s="528" t="s">
        <v>4136</v>
      </c>
      <c r="D322" s="526" t="s">
        <v>4166</v>
      </c>
      <c r="E322" s="652"/>
      <c r="F322" s="527"/>
      <c r="G322" s="527"/>
      <c r="H322" s="527"/>
      <c r="I322" s="527"/>
      <c r="J322" s="527"/>
      <c r="K322" s="527"/>
      <c r="L322" s="527"/>
      <c r="M322" s="527"/>
      <c r="N322" s="527"/>
      <c r="O322" s="527"/>
      <c r="P322" s="527"/>
      <c r="Q322" s="527"/>
      <c r="R322" s="528"/>
      <c r="S322" s="528"/>
      <c r="T322" s="528">
        <f t="shared" si="2"/>
        <v>1</v>
      </c>
      <c r="U322" s="527"/>
      <c r="V322" s="527"/>
      <c r="W322" s="527"/>
      <c r="X322" s="527"/>
      <c r="Y322" s="527"/>
      <c r="Z322" s="527"/>
      <c r="AA322" s="527"/>
      <c r="AB322" s="527"/>
      <c r="AC322" s="527"/>
      <c r="AD322" s="527"/>
      <c r="AE322" s="527"/>
      <c r="AF322" s="527"/>
      <c r="AG322" s="527"/>
    </row>
    <row r="323">
      <c r="B323" s="525" t="s">
        <v>3168</v>
      </c>
      <c r="C323" s="528" t="s">
        <v>4136</v>
      </c>
      <c r="D323" s="526" t="s">
        <v>4167</v>
      </c>
      <c r="E323" s="652"/>
      <c r="F323" s="527"/>
      <c r="G323" s="527"/>
      <c r="H323" s="527"/>
      <c r="I323" s="527"/>
      <c r="J323" s="527"/>
      <c r="K323" s="527"/>
      <c r="L323" s="527"/>
      <c r="M323" s="527"/>
      <c r="N323" s="527"/>
      <c r="O323" s="527"/>
      <c r="P323" s="527"/>
      <c r="Q323" s="527"/>
      <c r="R323" s="528"/>
      <c r="S323" s="528"/>
      <c r="T323" s="528">
        <f t="shared" si="2"/>
        <v>1</v>
      </c>
      <c r="U323" s="527"/>
      <c r="V323" s="527"/>
      <c r="W323" s="527"/>
      <c r="X323" s="527"/>
      <c r="Y323" s="527"/>
      <c r="Z323" s="527"/>
      <c r="AA323" s="527"/>
      <c r="AB323" s="527"/>
      <c r="AC323" s="527"/>
      <c r="AD323" s="527"/>
      <c r="AE323" s="527"/>
      <c r="AF323" s="527"/>
      <c r="AG323" s="527"/>
    </row>
    <row r="324">
      <c r="B324" s="525" t="s">
        <v>3164</v>
      </c>
      <c r="C324" s="533" t="s">
        <v>4169</v>
      </c>
      <c r="D324" s="526" t="s">
        <v>4168</v>
      </c>
      <c r="E324" s="652"/>
      <c r="F324" s="528">
        <v>544.0</v>
      </c>
      <c r="G324" s="528">
        <v>3733.0</v>
      </c>
      <c r="H324" s="528">
        <v>1.0</v>
      </c>
      <c r="I324" s="528">
        <v>1.0</v>
      </c>
      <c r="J324" s="528">
        <v>1.0</v>
      </c>
      <c r="K324" s="528">
        <v>1.0</v>
      </c>
      <c r="L324" s="527"/>
      <c r="M324" s="528">
        <v>1.0</v>
      </c>
      <c r="N324" s="528">
        <v>1.0</v>
      </c>
      <c r="O324" s="527"/>
      <c r="P324" s="527"/>
      <c r="Q324" s="528">
        <v>1.0</v>
      </c>
      <c r="R324" s="528"/>
      <c r="S324" s="528"/>
      <c r="T324" s="528" t="str">
        <f t="shared" si="2"/>
        <v/>
      </c>
      <c r="U324" s="527"/>
      <c r="V324" s="527"/>
      <c r="W324" s="527"/>
      <c r="X324" s="527"/>
      <c r="Y324" s="527"/>
      <c r="Z324" s="527"/>
      <c r="AA324" s="527"/>
      <c r="AB324" s="527"/>
      <c r="AC324" s="527"/>
      <c r="AD324" s="527"/>
      <c r="AE324" s="527"/>
      <c r="AF324" s="527"/>
      <c r="AG324" s="527"/>
    </row>
    <row r="325">
      <c r="B325" s="525" t="s">
        <v>3160</v>
      </c>
      <c r="C325" s="528" t="s">
        <v>4136</v>
      </c>
      <c r="D325" s="526" t="s">
        <v>4170</v>
      </c>
      <c r="E325" s="652"/>
      <c r="F325" s="527"/>
      <c r="G325" s="527"/>
      <c r="H325" s="527"/>
      <c r="I325" s="527"/>
      <c r="J325" s="527"/>
      <c r="K325" s="527"/>
      <c r="L325" s="527"/>
      <c r="M325" s="527"/>
      <c r="N325" s="527"/>
      <c r="O325" s="527"/>
      <c r="P325" s="527"/>
      <c r="Q325" s="527"/>
      <c r="R325" s="528"/>
      <c r="S325" s="528"/>
      <c r="T325" s="528">
        <f t="shared" si="2"/>
        <v>1</v>
      </c>
      <c r="U325" s="527"/>
      <c r="V325" s="527"/>
      <c r="W325" s="527"/>
      <c r="X325" s="527"/>
      <c r="Y325" s="527"/>
      <c r="Z325" s="527"/>
      <c r="AA325" s="527"/>
      <c r="AB325" s="527"/>
      <c r="AC325" s="527"/>
      <c r="AD325" s="527"/>
      <c r="AE325" s="527"/>
      <c r="AF325" s="527"/>
      <c r="AG325" s="527"/>
    </row>
    <row r="326">
      <c r="B326" s="525" t="s">
        <v>3156</v>
      </c>
      <c r="C326" s="533" t="s">
        <v>4172</v>
      </c>
      <c r="D326" s="526" t="s">
        <v>4171</v>
      </c>
      <c r="E326" s="652"/>
      <c r="F326" s="528">
        <v>6286.0</v>
      </c>
      <c r="G326" s="528">
        <v>863.0</v>
      </c>
      <c r="H326" s="528">
        <v>1.0</v>
      </c>
      <c r="I326" s="528">
        <v>1.0</v>
      </c>
      <c r="J326" s="528">
        <v>1.0</v>
      </c>
      <c r="K326" s="528">
        <v>1.0</v>
      </c>
      <c r="L326" s="527"/>
      <c r="M326" s="528">
        <v>1.0</v>
      </c>
      <c r="N326" s="527"/>
      <c r="O326" s="528">
        <v>1.0</v>
      </c>
      <c r="P326" s="527"/>
      <c r="Q326" s="528">
        <v>1.0</v>
      </c>
      <c r="R326" s="528"/>
      <c r="S326" s="528">
        <v>1.0</v>
      </c>
      <c r="T326" s="528" t="str">
        <f t="shared" si="2"/>
        <v/>
      </c>
      <c r="U326" s="527"/>
      <c r="V326" s="527"/>
      <c r="W326" s="527"/>
      <c r="X326" s="527"/>
      <c r="Y326" s="527"/>
      <c r="Z326" s="527"/>
      <c r="AA326" s="527"/>
      <c r="AB326" s="527"/>
      <c r="AC326" s="527"/>
      <c r="AD326" s="527"/>
      <c r="AE326" s="527"/>
      <c r="AF326" s="527"/>
      <c r="AG326" s="527"/>
    </row>
    <row r="327">
      <c r="A327" s="648" t="s">
        <v>3061</v>
      </c>
      <c r="B327" s="649" t="s">
        <v>3145</v>
      </c>
      <c r="C327" s="542" t="s">
        <v>4174</v>
      </c>
      <c r="D327" s="650" t="s">
        <v>4173</v>
      </c>
      <c r="E327" s="642" t="s">
        <v>3728</v>
      </c>
      <c r="F327" s="537">
        <v>964.0</v>
      </c>
      <c r="G327" s="537">
        <v>92.0</v>
      </c>
      <c r="H327" s="536"/>
      <c r="I327" s="536"/>
      <c r="J327" s="536"/>
      <c r="K327" s="536"/>
      <c r="L327" s="536"/>
      <c r="M327" s="536"/>
      <c r="N327" s="536"/>
      <c r="O327" s="536"/>
      <c r="P327" s="536"/>
      <c r="Q327" s="536"/>
      <c r="R327" s="537"/>
      <c r="S327" s="537"/>
      <c r="T327" s="537" t="str">
        <f t="shared" si="2"/>
        <v/>
      </c>
      <c r="U327" s="536"/>
      <c r="V327" s="536"/>
      <c r="W327" s="536"/>
      <c r="X327" s="536"/>
      <c r="Y327" s="536"/>
      <c r="Z327" s="536"/>
      <c r="AA327" s="536"/>
      <c r="AB327" s="536"/>
      <c r="AC327" s="536"/>
      <c r="AD327" s="536"/>
      <c r="AE327" s="536"/>
      <c r="AF327" s="536"/>
      <c r="AG327" s="536"/>
    </row>
    <row r="328">
      <c r="B328" s="649" t="s">
        <v>3139</v>
      </c>
      <c r="C328" s="542" t="s">
        <v>4175</v>
      </c>
      <c r="D328" s="650" t="s">
        <v>3140</v>
      </c>
      <c r="E328" s="647"/>
      <c r="F328" s="537">
        <v>4393.0</v>
      </c>
      <c r="G328" s="537">
        <v>648.0</v>
      </c>
      <c r="H328" s="537">
        <v>1.0</v>
      </c>
      <c r="I328" s="537">
        <v>1.0</v>
      </c>
      <c r="J328" s="537">
        <v>1.0</v>
      </c>
      <c r="K328" s="537">
        <v>1.0</v>
      </c>
      <c r="L328" s="536"/>
      <c r="M328" s="537">
        <v>1.0</v>
      </c>
      <c r="N328" s="537">
        <v>1.0</v>
      </c>
      <c r="O328" s="536"/>
      <c r="P328" s="536"/>
      <c r="Q328" s="536"/>
      <c r="R328" s="537"/>
      <c r="S328" s="537">
        <v>1.0</v>
      </c>
      <c r="T328" s="537" t="str">
        <f t="shared" si="2"/>
        <v/>
      </c>
      <c r="U328" s="536"/>
      <c r="V328" s="537">
        <v>1.0</v>
      </c>
      <c r="W328" s="536"/>
      <c r="X328" s="536"/>
      <c r="Y328" s="536"/>
      <c r="Z328" s="536"/>
      <c r="AA328" s="536"/>
      <c r="AB328" s="536"/>
      <c r="AC328" s="536"/>
      <c r="AD328" s="536"/>
      <c r="AE328" s="536"/>
      <c r="AF328" s="536"/>
      <c r="AG328" s="536"/>
    </row>
    <row r="329">
      <c r="B329" s="649" t="s">
        <v>3133</v>
      </c>
      <c r="C329" s="617" t="s">
        <v>4176</v>
      </c>
      <c r="D329" s="650" t="s">
        <v>3134</v>
      </c>
      <c r="E329" s="642" t="s">
        <v>3728</v>
      </c>
      <c r="F329" s="537">
        <v>31219.0</v>
      </c>
      <c r="G329" s="537">
        <v>149.0</v>
      </c>
      <c r="H329" s="536"/>
      <c r="I329" s="536"/>
      <c r="J329" s="536"/>
      <c r="K329" s="536"/>
      <c r="L329" s="536"/>
      <c r="M329" s="536"/>
      <c r="N329" s="536"/>
      <c r="O329" s="536"/>
      <c r="P329" s="536"/>
      <c r="Q329" s="536"/>
      <c r="R329" s="537"/>
      <c r="S329" s="537"/>
      <c r="T329" s="537" t="str">
        <f t="shared" si="2"/>
        <v/>
      </c>
      <c r="U329" s="536"/>
      <c r="V329" s="536"/>
      <c r="W329" s="536"/>
      <c r="X329" s="536"/>
      <c r="Y329" s="536"/>
      <c r="Z329" s="536"/>
      <c r="AA329" s="536"/>
      <c r="AB329" s="536"/>
      <c r="AC329" s="536"/>
      <c r="AD329" s="536"/>
      <c r="AE329" s="536"/>
      <c r="AF329" s="536"/>
      <c r="AG329" s="536"/>
    </row>
    <row r="330">
      <c r="B330" s="649" t="s">
        <v>3127</v>
      </c>
      <c r="C330" s="542" t="s">
        <v>4179</v>
      </c>
      <c r="D330" s="650" t="s">
        <v>3128</v>
      </c>
      <c r="E330" s="647"/>
      <c r="F330" s="537">
        <v>468.0</v>
      </c>
      <c r="G330" s="537">
        <v>307.0</v>
      </c>
      <c r="H330" s="537">
        <v>1.0</v>
      </c>
      <c r="I330" s="536"/>
      <c r="J330" s="537">
        <v>1.0</v>
      </c>
      <c r="K330" s="536"/>
      <c r="L330" s="536"/>
      <c r="M330" s="537">
        <v>1.0</v>
      </c>
      <c r="N330" s="536"/>
      <c r="O330" s="537">
        <v>1.0</v>
      </c>
      <c r="P330" s="536"/>
      <c r="Q330" s="537">
        <v>1.0</v>
      </c>
      <c r="R330" s="537">
        <v>1.0</v>
      </c>
      <c r="S330" s="537"/>
      <c r="T330" s="537" t="str">
        <f t="shared" si="2"/>
        <v/>
      </c>
      <c r="U330" s="537">
        <v>1.0</v>
      </c>
      <c r="V330" s="537"/>
      <c r="W330" s="536"/>
      <c r="X330" s="536"/>
      <c r="Y330" s="536"/>
      <c r="Z330" s="536"/>
      <c r="AA330" s="536"/>
      <c r="AB330" s="536"/>
      <c r="AC330" s="536"/>
      <c r="AD330" s="536"/>
      <c r="AE330" s="536"/>
      <c r="AF330" s="536"/>
      <c r="AG330" s="536"/>
    </row>
    <row r="331">
      <c r="B331" s="649" t="s">
        <v>3121</v>
      </c>
      <c r="C331" s="542" t="s">
        <v>4180</v>
      </c>
      <c r="D331" s="650" t="s">
        <v>3122</v>
      </c>
      <c r="E331" s="642" t="s">
        <v>3728</v>
      </c>
      <c r="F331" s="537">
        <v>720.0</v>
      </c>
      <c r="G331" s="537">
        <v>614.0</v>
      </c>
      <c r="H331" s="536"/>
      <c r="I331" s="536"/>
      <c r="J331" s="536"/>
      <c r="K331" s="536"/>
      <c r="L331" s="536"/>
      <c r="M331" s="536"/>
      <c r="N331" s="536"/>
      <c r="O331" s="536"/>
      <c r="P331" s="536"/>
      <c r="Q331" s="536"/>
      <c r="R331" s="537"/>
      <c r="S331" s="537"/>
      <c r="T331" s="537" t="str">
        <f t="shared" si="2"/>
        <v/>
      </c>
      <c r="U331" s="536"/>
      <c r="V331" s="536"/>
      <c r="W331" s="536"/>
      <c r="X331" s="536"/>
      <c r="Y331" s="536"/>
      <c r="Z331" s="536"/>
      <c r="AA331" s="536"/>
      <c r="AB331" s="536"/>
      <c r="AC331" s="536"/>
      <c r="AD331" s="536"/>
      <c r="AE331" s="536"/>
      <c r="AF331" s="536"/>
      <c r="AG331" s="536"/>
    </row>
    <row r="332">
      <c r="B332" s="649" t="s">
        <v>3115</v>
      </c>
      <c r="C332" s="542" t="s">
        <v>4183</v>
      </c>
      <c r="D332" s="650" t="s">
        <v>4181</v>
      </c>
      <c r="E332" s="642" t="s">
        <v>3728</v>
      </c>
      <c r="F332" s="537">
        <v>12079.0</v>
      </c>
      <c r="G332" s="537">
        <v>466.0</v>
      </c>
      <c r="H332" s="536"/>
      <c r="I332" s="536"/>
      <c r="J332" s="536"/>
      <c r="K332" s="536"/>
      <c r="L332" s="536"/>
      <c r="M332" s="536"/>
      <c r="N332" s="536"/>
      <c r="O332" s="536"/>
      <c r="P332" s="536"/>
      <c r="Q332" s="536"/>
      <c r="R332" s="537"/>
      <c r="S332" s="537"/>
      <c r="T332" s="537" t="str">
        <f t="shared" si="2"/>
        <v/>
      </c>
      <c r="U332" s="536"/>
      <c r="V332" s="536"/>
      <c r="W332" s="536"/>
      <c r="X332" s="536"/>
      <c r="Y332" s="536"/>
      <c r="Z332" s="536"/>
      <c r="AA332" s="536"/>
      <c r="AB332" s="536"/>
      <c r="AC332" s="536"/>
      <c r="AD332" s="536"/>
      <c r="AE332" s="536"/>
      <c r="AF332" s="536"/>
      <c r="AG332" s="536"/>
    </row>
    <row r="333">
      <c r="B333" s="640" t="s">
        <v>3109</v>
      </c>
      <c r="C333" s="542" t="s">
        <v>4186</v>
      </c>
      <c r="D333" s="650" t="s">
        <v>4184</v>
      </c>
      <c r="E333" s="647"/>
      <c r="F333" s="537">
        <v>1166.0</v>
      </c>
      <c r="G333" s="537">
        <v>633.0</v>
      </c>
      <c r="H333" s="537">
        <v>1.0</v>
      </c>
      <c r="I333" s="537">
        <v>1.0</v>
      </c>
      <c r="J333" s="537">
        <v>1.0</v>
      </c>
      <c r="K333" s="537">
        <v>1.0</v>
      </c>
      <c r="L333" s="536"/>
      <c r="M333" s="537">
        <v>1.0</v>
      </c>
      <c r="N333" s="536"/>
      <c r="O333" s="536"/>
      <c r="P333" s="536"/>
      <c r="Q333" s="537">
        <v>1.0</v>
      </c>
      <c r="R333" s="537"/>
      <c r="S333" s="537"/>
      <c r="T333" s="537" t="str">
        <f t="shared" si="2"/>
        <v/>
      </c>
      <c r="U333" s="536"/>
      <c r="V333" s="536"/>
      <c r="W333" s="536"/>
      <c r="X333" s="536"/>
      <c r="Y333" s="536"/>
      <c r="Z333" s="536"/>
      <c r="AA333" s="536"/>
      <c r="AB333" s="536"/>
      <c r="AC333" s="536"/>
      <c r="AD333" s="536"/>
      <c r="AE333" s="536"/>
      <c r="AF333" s="536"/>
      <c r="AG333" s="536"/>
    </row>
    <row r="334">
      <c r="B334" s="649" t="s">
        <v>3103</v>
      </c>
      <c r="C334" s="542" t="s">
        <v>4188</v>
      </c>
      <c r="D334" s="650" t="s">
        <v>4187</v>
      </c>
      <c r="E334" s="642" t="s">
        <v>3728</v>
      </c>
      <c r="F334" s="537">
        <v>1350.0</v>
      </c>
      <c r="G334" s="537">
        <v>292.0</v>
      </c>
      <c r="H334" s="536"/>
      <c r="I334" s="536"/>
      <c r="J334" s="536"/>
      <c r="K334" s="536"/>
      <c r="L334" s="536"/>
      <c r="M334" s="536"/>
      <c r="N334" s="536"/>
      <c r="O334" s="536"/>
      <c r="P334" s="536"/>
      <c r="Q334" s="536"/>
      <c r="R334" s="537"/>
      <c r="S334" s="537"/>
      <c r="T334" s="537" t="str">
        <f t="shared" si="2"/>
        <v/>
      </c>
      <c r="U334" s="536"/>
      <c r="V334" s="536"/>
      <c r="W334" s="536"/>
      <c r="X334" s="536"/>
      <c r="Y334" s="536"/>
      <c r="Z334" s="536"/>
      <c r="AA334" s="536"/>
      <c r="AB334" s="536"/>
      <c r="AC334" s="536"/>
      <c r="AD334" s="536"/>
      <c r="AE334" s="536"/>
      <c r="AF334" s="536"/>
      <c r="AG334" s="536"/>
    </row>
    <row r="335">
      <c r="B335" s="649" t="s">
        <v>3097</v>
      </c>
      <c r="C335" s="542" t="s">
        <v>4190</v>
      </c>
      <c r="D335" s="650" t="s">
        <v>4189</v>
      </c>
      <c r="E335" s="642" t="s">
        <v>3728</v>
      </c>
      <c r="F335" s="537">
        <v>1.0</v>
      </c>
      <c r="G335" s="537">
        <v>9.0</v>
      </c>
      <c r="H335" s="536"/>
      <c r="I335" s="536"/>
      <c r="J335" s="536"/>
      <c r="K335" s="536"/>
      <c r="L335" s="536"/>
      <c r="M335" s="536"/>
      <c r="N335" s="536"/>
      <c r="O335" s="536"/>
      <c r="P335" s="536"/>
      <c r="Q335" s="536"/>
      <c r="R335" s="537"/>
      <c r="S335" s="537"/>
      <c r="T335" s="537" t="str">
        <f t="shared" si="2"/>
        <v/>
      </c>
      <c r="U335" s="536"/>
      <c r="V335" s="536"/>
      <c r="W335" s="536"/>
      <c r="X335" s="536"/>
      <c r="Y335" s="536"/>
      <c r="Z335" s="536"/>
      <c r="AA335" s="536"/>
      <c r="AB335" s="536"/>
      <c r="AC335" s="536"/>
      <c r="AD335" s="536"/>
      <c r="AE335" s="536"/>
      <c r="AF335" s="536"/>
      <c r="AG335" s="536"/>
    </row>
    <row r="336">
      <c r="B336" s="649" t="s">
        <v>3091</v>
      </c>
      <c r="C336" s="542" t="s">
        <v>4192</v>
      </c>
      <c r="D336" s="650" t="s">
        <v>3092</v>
      </c>
      <c r="E336" s="647"/>
      <c r="F336" s="537">
        <v>1195.0</v>
      </c>
      <c r="G336" s="537">
        <v>363.0</v>
      </c>
      <c r="H336" s="537">
        <v>1.0</v>
      </c>
      <c r="I336" s="537">
        <v>1.0</v>
      </c>
      <c r="J336" s="537">
        <v>1.0</v>
      </c>
      <c r="K336" s="537">
        <v>1.0</v>
      </c>
      <c r="L336" s="536"/>
      <c r="M336" s="536"/>
      <c r="N336" s="537">
        <v>1.0</v>
      </c>
      <c r="O336" s="537">
        <v>1.0</v>
      </c>
      <c r="P336" s="536"/>
      <c r="Q336" s="537">
        <v>1.0</v>
      </c>
      <c r="R336" s="537"/>
      <c r="S336" s="537"/>
      <c r="T336" s="537" t="str">
        <f t="shared" si="2"/>
        <v/>
      </c>
      <c r="U336" s="536"/>
      <c r="V336" s="536"/>
      <c r="W336" s="536"/>
      <c r="X336" s="536"/>
      <c r="Y336" s="536"/>
      <c r="Z336" s="536"/>
      <c r="AA336" s="536"/>
      <c r="AB336" s="536"/>
      <c r="AC336" s="536"/>
      <c r="AD336" s="536"/>
      <c r="AE336" s="536"/>
      <c r="AF336" s="536"/>
      <c r="AG336" s="536"/>
    </row>
    <row r="337">
      <c r="B337" s="649" t="s">
        <v>3085</v>
      </c>
      <c r="C337" s="542" t="s">
        <v>4193</v>
      </c>
      <c r="D337" s="650" t="s">
        <v>3086</v>
      </c>
      <c r="E337" s="642" t="s">
        <v>3728</v>
      </c>
      <c r="F337" s="537">
        <v>546.0</v>
      </c>
      <c r="G337" s="537">
        <v>15.0</v>
      </c>
      <c r="H337" s="536"/>
      <c r="I337" s="536"/>
      <c r="J337" s="536"/>
      <c r="K337" s="536"/>
      <c r="L337" s="536"/>
      <c r="M337" s="536"/>
      <c r="N337" s="536"/>
      <c r="O337" s="536"/>
      <c r="P337" s="536"/>
      <c r="Q337" s="536"/>
      <c r="R337" s="537"/>
      <c r="S337" s="537"/>
      <c r="T337" s="537" t="str">
        <f t="shared" si="2"/>
        <v/>
      </c>
      <c r="U337" s="536"/>
      <c r="V337" s="536"/>
      <c r="W337" s="536"/>
      <c r="X337" s="536"/>
      <c r="Y337" s="536"/>
      <c r="Z337" s="536"/>
      <c r="AA337" s="536"/>
      <c r="AB337" s="536"/>
      <c r="AC337" s="536"/>
      <c r="AD337" s="536"/>
      <c r="AE337" s="536"/>
      <c r="AF337" s="536"/>
      <c r="AG337" s="536"/>
    </row>
    <row r="338">
      <c r="B338" s="649" t="s">
        <v>3080</v>
      </c>
      <c r="C338" s="542" t="s">
        <v>4195</v>
      </c>
      <c r="D338" s="650" t="s">
        <v>631</v>
      </c>
      <c r="E338" s="647"/>
      <c r="F338" s="537">
        <v>7314.0</v>
      </c>
      <c r="G338" s="537">
        <v>7016.0</v>
      </c>
      <c r="H338" s="537">
        <v>1.0</v>
      </c>
      <c r="I338" s="536"/>
      <c r="J338" s="536"/>
      <c r="K338" s="536"/>
      <c r="L338" s="536"/>
      <c r="M338" s="536"/>
      <c r="N338" s="537">
        <v>1.0</v>
      </c>
      <c r="O338" s="536"/>
      <c r="P338" s="536"/>
      <c r="Q338" s="537">
        <v>1.0</v>
      </c>
      <c r="R338" s="537">
        <v>1.0</v>
      </c>
      <c r="S338" s="537">
        <v>1.0</v>
      </c>
      <c r="T338" s="537" t="str">
        <f t="shared" si="2"/>
        <v/>
      </c>
      <c r="U338" s="536"/>
      <c r="V338" s="536"/>
      <c r="W338" s="536"/>
      <c r="X338" s="536"/>
      <c r="Y338" s="536"/>
      <c r="Z338" s="536"/>
      <c r="AA338" s="536"/>
      <c r="AB338" s="536"/>
      <c r="AC338" s="536"/>
      <c r="AD338" s="536"/>
      <c r="AE338" s="536"/>
      <c r="AF338" s="536"/>
      <c r="AG338" s="536"/>
    </row>
    <row r="339">
      <c r="B339" s="649" t="s">
        <v>3074</v>
      </c>
      <c r="C339" s="542" t="s">
        <v>4197</v>
      </c>
      <c r="D339" s="650" t="s">
        <v>3075</v>
      </c>
      <c r="E339" s="642" t="s">
        <v>3728</v>
      </c>
      <c r="F339" s="537">
        <v>24434.0</v>
      </c>
      <c r="G339" s="537">
        <v>1345.0</v>
      </c>
      <c r="H339" s="536"/>
      <c r="I339" s="536"/>
      <c r="J339" s="536"/>
      <c r="K339" s="536"/>
      <c r="L339" s="536"/>
      <c r="M339" s="536"/>
      <c r="N339" s="536"/>
      <c r="O339" s="536"/>
      <c r="P339" s="536"/>
      <c r="Q339" s="536"/>
      <c r="R339" s="537"/>
      <c r="S339" s="537"/>
      <c r="T339" s="537" t="str">
        <f t="shared" si="2"/>
        <v/>
      </c>
      <c r="U339" s="536"/>
      <c r="V339" s="536"/>
      <c r="W339" s="536"/>
      <c r="X339" s="536"/>
      <c r="Y339" s="536"/>
      <c r="Z339" s="536"/>
      <c r="AA339" s="536"/>
      <c r="AB339" s="536"/>
      <c r="AC339" s="536"/>
      <c r="AD339" s="536"/>
      <c r="AE339" s="536"/>
      <c r="AF339" s="536"/>
      <c r="AG339" s="536"/>
    </row>
    <row r="340">
      <c r="B340" s="649" t="s">
        <v>3068</v>
      </c>
      <c r="C340" s="542" t="s">
        <v>4198</v>
      </c>
      <c r="D340" s="650" t="s">
        <v>3069</v>
      </c>
      <c r="E340" s="642" t="s">
        <v>3728</v>
      </c>
      <c r="F340" s="537">
        <v>2860.0</v>
      </c>
      <c r="G340" s="537">
        <v>89.0</v>
      </c>
      <c r="H340" s="536"/>
      <c r="I340" s="536"/>
      <c r="J340" s="536"/>
      <c r="K340" s="536"/>
      <c r="L340" s="536"/>
      <c r="M340" s="536"/>
      <c r="N340" s="536"/>
      <c r="O340" s="536"/>
      <c r="P340" s="536"/>
      <c r="Q340" s="536"/>
      <c r="R340" s="537"/>
      <c r="S340" s="537"/>
      <c r="T340" s="537" t="str">
        <f t="shared" si="2"/>
        <v/>
      </c>
      <c r="U340" s="536"/>
      <c r="V340" s="536"/>
      <c r="W340" s="536"/>
      <c r="X340" s="536"/>
      <c r="Y340" s="536"/>
      <c r="Z340" s="536"/>
      <c r="AA340" s="536"/>
      <c r="AB340" s="536"/>
      <c r="AC340" s="536"/>
      <c r="AD340" s="536"/>
      <c r="AE340" s="536"/>
      <c r="AF340" s="536"/>
      <c r="AG340" s="536"/>
    </row>
    <row r="341">
      <c r="B341" s="649" t="s">
        <v>3062</v>
      </c>
      <c r="C341" s="542" t="s">
        <v>4199</v>
      </c>
      <c r="D341" s="650" t="s">
        <v>3063</v>
      </c>
      <c r="E341" s="642" t="s">
        <v>3728</v>
      </c>
      <c r="F341" s="537">
        <v>3389.0</v>
      </c>
      <c r="G341" s="537">
        <v>3371.0</v>
      </c>
      <c r="H341" s="536"/>
      <c r="I341" s="536"/>
      <c r="J341" s="536"/>
      <c r="K341" s="536"/>
      <c r="L341" s="536"/>
      <c r="M341" s="536"/>
      <c r="N341" s="536"/>
      <c r="O341" s="536"/>
      <c r="P341" s="536"/>
      <c r="Q341" s="536"/>
      <c r="R341" s="537"/>
      <c r="S341" s="537"/>
      <c r="T341" s="537" t="str">
        <f t="shared" si="2"/>
        <v/>
      </c>
      <c r="U341" s="536"/>
      <c r="V341" s="536"/>
      <c r="W341" s="536"/>
      <c r="X341" s="536"/>
      <c r="Y341" s="536"/>
      <c r="Z341" s="536"/>
      <c r="AA341" s="536"/>
      <c r="AB341" s="536"/>
      <c r="AC341" s="536"/>
      <c r="AD341" s="536"/>
      <c r="AE341" s="536"/>
      <c r="AF341" s="536"/>
      <c r="AG341" s="536"/>
    </row>
    <row r="342">
      <c r="A342" s="684" t="s">
        <v>3258</v>
      </c>
      <c r="B342" s="685" t="s">
        <v>3273</v>
      </c>
      <c r="C342" s="608" t="s">
        <v>4136</v>
      </c>
      <c r="D342" s="686" t="s">
        <v>4200</v>
      </c>
      <c r="E342" s="687"/>
      <c r="F342" s="597"/>
      <c r="G342" s="597"/>
      <c r="H342" s="597"/>
      <c r="I342" s="597"/>
      <c r="J342" s="597"/>
      <c r="K342" s="597"/>
      <c r="L342" s="597"/>
      <c r="M342" s="597"/>
      <c r="N342" s="597"/>
      <c r="O342" s="597"/>
      <c r="P342" s="597"/>
      <c r="Q342" s="597"/>
      <c r="R342" s="598"/>
      <c r="S342" s="598"/>
      <c r="T342" s="598">
        <f t="shared" si="2"/>
        <v>1</v>
      </c>
      <c r="U342" s="597"/>
      <c r="V342" s="597"/>
      <c r="W342" s="597"/>
      <c r="X342" s="597"/>
      <c r="Y342" s="597"/>
      <c r="Z342" s="597"/>
      <c r="AA342" s="597"/>
      <c r="AB342" s="597"/>
      <c r="AC342" s="597"/>
      <c r="AD342" s="597"/>
      <c r="AE342" s="597"/>
      <c r="AF342" s="597"/>
      <c r="AG342" s="597"/>
    </row>
    <row r="343">
      <c r="B343" s="685" t="s">
        <v>3270</v>
      </c>
      <c r="C343" s="603" t="s">
        <v>4202</v>
      </c>
      <c r="D343" s="686" t="s">
        <v>4201</v>
      </c>
      <c r="E343" s="688" t="s">
        <v>3728</v>
      </c>
      <c r="F343" s="598">
        <v>154.0</v>
      </c>
      <c r="G343" s="598">
        <v>0.0</v>
      </c>
      <c r="H343" s="597"/>
      <c r="I343" s="597"/>
      <c r="J343" s="597"/>
      <c r="K343" s="597"/>
      <c r="L343" s="597"/>
      <c r="M343" s="597"/>
      <c r="N343" s="597"/>
      <c r="O343" s="597"/>
      <c r="P343" s="597"/>
      <c r="Q343" s="597"/>
      <c r="R343" s="598"/>
      <c r="S343" s="598"/>
      <c r="T343" s="598" t="str">
        <f t="shared" si="2"/>
        <v/>
      </c>
      <c r="U343" s="597"/>
      <c r="V343" s="597"/>
      <c r="W343" s="597"/>
      <c r="X343" s="597"/>
      <c r="Y343" s="597"/>
      <c r="Z343" s="597"/>
      <c r="AA343" s="597"/>
      <c r="AB343" s="597"/>
      <c r="AC343" s="597"/>
      <c r="AD343" s="597"/>
      <c r="AE343" s="597"/>
      <c r="AF343" s="597"/>
      <c r="AG343" s="597"/>
    </row>
    <row r="344">
      <c r="B344" s="685" t="s">
        <v>3267</v>
      </c>
      <c r="C344" s="603" t="s">
        <v>4205</v>
      </c>
      <c r="D344" s="686" t="s">
        <v>4203</v>
      </c>
      <c r="E344" s="687"/>
      <c r="F344" s="598">
        <v>327.0</v>
      </c>
      <c r="G344" s="598">
        <v>48.0</v>
      </c>
      <c r="H344" s="598">
        <v>1.0</v>
      </c>
      <c r="I344" s="597"/>
      <c r="J344" s="598">
        <v>1.0</v>
      </c>
      <c r="K344" s="598">
        <v>1.0</v>
      </c>
      <c r="L344" s="597"/>
      <c r="M344" s="597"/>
      <c r="N344" s="598">
        <v>1.0</v>
      </c>
      <c r="O344" s="598">
        <v>1.0</v>
      </c>
      <c r="P344" s="597"/>
      <c r="Q344" s="598">
        <v>1.0</v>
      </c>
      <c r="R344" s="598"/>
      <c r="S344" s="598"/>
      <c r="T344" s="598" t="str">
        <f t="shared" si="2"/>
        <v/>
      </c>
      <c r="U344" s="597"/>
      <c r="V344" s="597"/>
      <c r="W344" s="597"/>
      <c r="X344" s="597"/>
      <c r="Y344" s="597"/>
      <c r="Z344" s="597"/>
      <c r="AA344" s="597"/>
      <c r="AB344" s="597"/>
      <c r="AC344" s="597"/>
      <c r="AD344" s="597"/>
      <c r="AE344" s="597"/>
      <c r="AF344" s="597"/>
      <c r="AG344" s="597"/>
    </row>
    <row r="345">
      <c r="B345" s="685" t="s">
        <v>3264</v>
      </c>
      <c r="C345" s="603" t="s">
        <v>4207</v>
      </c>
      <c r="D345" s="686" t="s">
        <v>4206</v>
      </c>
      <c r="E345" s="688" t="s">
        <v>3728</v>
      </c>
      <c r="F345" s="598">
        <v>29.0</v>
      </c>
      <c r="G345" s="598">
        <v>20.0</v>
      </c>
      <c r="H345" s="597"/>
      <c r="I345" s="597"/>
      <c r="J345" s="597"/>
      <c r="K345" s="597"/>
      <c r="L345" s="597"/>
      <c r="M345" s="597"/>
      <c r="N345" s="597"/>
      <c r="O345" s="597"/>
      <c r="P345" s="597"/>
      <c r="Q345" s="597"/>
      <c r="R345" s="598"/>
      <c r="S345" s="598"/>
      <c r="T345" s="598" t="str">
        <f t="shared" si="2"/>
        <v/>
      </c>
      <c r="U345" s="597"/>
      <c r="V345" s="597"/>
      <c r="W345" s="597"/>
      <c r="X345" s="597"/>
      <c r="Y345" s="597"/>
      <c r="Z345" s="597"/>
      <c r="AA345" s="597"/>
      <c r="AB345" s="597"/>
      <c r="AC345" s="597"/>
      <c r="AD345" s="597"/>
      <c r="AE345" s="597"/>
      <c r="AF345" s="597"/>
      <c r="AG345" s="597"/>
    </row>
    <row r="346">
      <c r="B346" s="685" t="s">
        <v>3259</v>
      </c>
      <c r="C346" s="608" t="s">
        <v>4136</v>
      </c>
      <c r="D346" s="686" t="s">
        <v>4208</v>
      </c>
      <c r="E346" s="687"/>
      <c r="F346" s="597"/>
      <c r="G346" s="597"/>
      <c r="H346" s="597"/>
      <c r="I346" s="597"/>
      <c r="J346" s="597"/>
      <c r="K346" s="597"/>
      <c r="L346" s="597"/>
      <c r="M346" s="597"/>
      <c r="N346" s="597"/>
      <c r="O346" s="597"/>
      <c r="P346" s="597"/>
      <c r="Q346" s="597"/>
      <c r="R346" s="598"/>
      <c r="S346" s="598"/>
      <c r="T346" s="598">
        <f t="shared" si="2"/>
        <v>1</v>
      </c>
      <c r="U346" s="597"/>
      <c r="V346" s="597"/>
      <c r="W346" s="597"/>
      <c r="X346" s="597"/>
      <c r="Y346" s="597"/>
      <c r="Z346" s="597"/>
      <c r="AA346" s="597"/>
      <c r="AB346" s="597"/>
      <c r="AC346" s="597"/>
      <c r="AD346" s="597"/>
      <c r="AE346" s="597"/>
      <c r="AF346" s="597"/>
      <c r="AG346" s="597"/>
    </row>
    <row r="347">
      <c r="A347" s="689" t="s">
        <v>3219</v>
      </c>
      <c r="B347" s="690" t="s">
        <v>3240</v>
      </c>
      <c r="C347" s="626" t="s">
        <v>4211</v>
      </c>
      <c r="D347" s="691" t="s">
        <v>4209</v>
      </c>
      <c r="E347" s="692"/>
      <c r="F347" s="622">
        <v>468.0</v>
      </c>
      <c r="G347" s="622">
        <v>38.0</v>
      </c>
      <c r="H347" s="622">
        <v>1.0</v>
      </c>
      <c r="I347" s="622">
        <v>1.0</v>
      </c>
      <c r="J347" s="622">
        <v>1.0</v>
      </c>
      <c r="K347" s="622">
        <v>1.0</v>
      </c>
      <c r="L347" s="621"/>
      <c r="M347" s="621"/>
      <c r="N347" s="621"/>
      <c r="O347" s="621"/>
      <c r="P347" s="621"/>
      <c r="Q347" s="622">
        <v>1.0</v>
      </c>
      <c r="R347" s="622"/>
      <c r="S347" s="622"/>
      <c r="T347" s="622" t="str">
        <f t="shared" si="2"/>
        <v/>
      </c>
      <c r="U347" s="622">
        <v>1.0</v>
      </c>
      <c r="V347" s="622"/>
      <c r="W347" s="621"/>
      <c r="X347" s="621"/>
      <c r="Y347" s="621"/>
      <c r="Z347" s="621"/>
      <c r="AA347" s="621"/>
      <c r="AB347" s="621"/>
      <c r="AC347" s="621"/>
      <c r="AD347" s="621"/>
      <c r="AE347" s="621"/>
      <c r="AF347" s="621"/>
      <c r="AG347" s="621"/>
    </row>
    <row r="348">
      <c r="B348" s="690" t="s">
        <v>3234</v>
      </c>
      <c r="C348" s="626" t="s">
        <v>4213</v>
      </c>
      <c r="D348" s="691" t="s">
        <v>4212</v>
      </c>
      <c r="E348" s="693" t="s">
        <v>3728</v>
      </c>
      <c r="F348" s="622">
        <v>135.0</v>
      </c>
      <c r="G348" s="622">
        <v>134.0</v>
      </c>
      <c r="H348" s="621"/>
      <c r="I348" s="621"/>
      <c r="J348" s="621"/>
      <c r="K348" s="621"/>
      <c r="L348" s="621"/>
      <c r="M348" s="621"/>
      <c r="N348" s="621"/>
      <c r="O348" s="621"/>
      <c r="P348" s="621"/>
      <c r="Q348" s="621"/>
      <c r="R348" s="622"/>
      <c r="S348" s="622"/>
      <c r="T348" s="622" t="str">
        <f t="shared" si="2"/>
        <v/>
      </c>
      <c r="U348" s="621"/>
      <c r="V348" s="621"/>
      <c r="W348" s="621"/>
      <c r="X348" s="621"/>
      <c r="Y348" s="621"/>
      <c r="Z348" s="621"/>
      <c r="AA348" s="621"/>
      <c r="AB348" s="621"/>
      <c r="AC348" s="621"/>
      <c r="AD348" s="621"/>
      <c r="AE348" s="621"/>
      <c r="AF348" s="621"/>
      <c r="AG348" s="621"/>
    </row>
    <row r="349">
      <c r="B349" s="690" t="s">
        <v>3226</v>
      </c>
      <c r="C349" s="626" t="s">
        <v>4216</v>
      </c>
      <c r="D349" s="691" t="s">
        <v>4214</v>
      </c>
      <c r="E349" s="693" t="s">
        <v>3728</v>
      </c>
      <c r="F349" s="622">
        <v>2048.0</v>
      </c>
      <c r="G349" s="622">
        <v>1304.0</v>
      </c>
      <c r="H349" s="621"/>
      <c r="I349" s="621"/>
      <c r="J349" s="621"/>
      <c r="K349" s="621"/>
      <c r="L349" s="621"/>
      <c r="M349" s="621"/>
      <c r="N349" s="621"/>
      <c r="O349" s="621"/>
      <c r="P349" s="621"/>
      <c r="Q349" s="621"/>
      <c r="R349" s="622"/>
      <c r="S349" s="622"/>
      <c r="T349" s="622" t="str">
        <f t="shared" si="2"/>
        <v/>
      </c>
      <c r="U349" s="621"/>
      <c r="V349" s="621"/>
      <c r="W349" s="621"/>
      <c r="X349" s="621"/>
      <c r="Y349" s="621"/>
      <c r="Z349" s="621"/>
      <c r="AA349" s="621"/>
      <c r="AB349" s="621"/>
      <c r="AC349" s="621"/>
      <c r="AD349" s="621"/>
      <c r="AE349" s="621"/>
      <c r="AF349" s="621"/>
      <c r="AG349" s="621"/>
    </row>
    <row r="350">
      <c r="B350" s="690" t="s">
        <v>3220</v>
      </c>
      <c r="C350" s="626" t="s">
        <v>4219</v>
      </c>
      <c r="D350" s="691" t="s">
        <v>4217</v>
      </c>
      <c r="E350" s="693" t="s">
        <v>3728</v>
      </c>
      <c r="F350" s="622">
        <v>573.0</v>
      </c>
      <c r="G350" s="622">
        <v>219.0</v>
      </c>
      <c r="H350" s="621"/>
      <c r="I350" s="621"/>
      <c r="J350" s="621"/>
      <c r="K350" s="621"/>
      <c r="L350" s="621"/>
      <c r="M350" s="621"/>
      <c r="N350" s="621"/>
      <c r="O350" s="621"/>
      <c r="P350" s="621"/>
      <c r="Q350" s="621"/>
      <c r="R350" s="622"/>
      <c r="S350" s="622"/>
      <c r="T350" s="622" t="str">
        <f t="shared" si="2"/>
        <v/>
      </c>
      <c r="U350" s="621"/>
      <c r="V350" s="621"/>
      <c r="W350" s="621"/>
      <c r="X350" s="621"/>
      <c r="Y350" s="621"/>
      <c r="Z350" s="621"/>
      <c r="AA350" s="621"/>
      <c r="AB350" s="621"/>
      <c r="AC350" s="621"/>
      <c r="AD350" s="621"/>
      <c r="AE350" s="621"/>
      <c r="AF350" s="621"/>
      <c r="AG350" s="621"/>
    </row>
    <row r="351">
      <c r="A351" s="669" t="s">
        <v>3387</v>
      </c>
      <c r="B351" s="670" t="s">
        <v>3525</v>
      </c>
      <c r="C351" s="568" t="s">
        <v>4221</v>
      </c>
      <c r="D351" s="671" t="s">
        <v>4220</v>
      </c>
      <c r="E351" s="672"/>
      <c r="F351" s="438">
        <v>1951.0</v>
      </c>
      <c r="G351" s="438">
        <v>186.0</v>
      </c>
      <c r="H351" s="438">
        <v>1.0</v>
      </c>
      <c r="I351" s="564"/>
      <c r="J351" s="438">
        <v>1.0</v>
      </c>
      <c r="K351" s="438">
        <v>1.0</v>
      </c>
      <c r="L351" s="438">
        <v>1.0</v>
      </c>
      <c r="M351" s="438">
        <v>1.0</v>
      </c>
      <c r="N351" s="564"/>
      <c r="O351" s="564"/>
      <c r="P351" s="564"/>
      <c r="Q351" s="438">
        <v>1.0</v>
      </c>
      <c r="R351" s="438">
        <v>1.0</v>
      </c>
      <c r="S351" s="438">
        <v>1.0</v>
      </c>
      <c r="T351" s="438" t="str">
        <f t="shared" si="2"/>
        <v/>
      </c>
      <c r="U351" s="564"/>
      <c r="V351" s="564"/>
      <c r="W351" s="564"/>
      <c r="X351" s="564"/>
      <c r="Y351" s="564"/>
      <c r="Z351" s="564"/>
      <c r="AA351" s="564"/>
      <c r="AB351" s="564"/>
      <c r="AC351" s="564"/>
      <c r="AD351" s="564"/>
      <c r="AE351" s="564"/>
      <c r="AF351" s="564"/>
      <c r="AG351" s="564"/>
    </row>
    <row r="352">
      <c r="B352" s="670" t="s">
        <v>3521</v>
      </c>
      <c r="C352" s="438" t="s">
        <v>4136</v>
      </c>
      <c r="D352" s="671" t="s">
        <v>4222</v>
      </c>
      <c r="E352" s="672"/>
      <c r="F352" s="564"/>
      <c r="G352" s="564"/>
      <c r="H352" s="564"/>
      <c r="I352" s="564"/>
      <c r="J352" s="564"/>
      <c r="K352" s="564"/>
      <c r="L352" s="564"/>
      <c r="M352" s="564"/>
      <c r="N352" s="564"/>
      <c r="O352" s="564"/>
      <c r="P352" s="564"/>
      <c r="Q352" s="564"/>
      <c r="R352" s="438"/>
      <c r="S352" s="438"/>
      <c r="T352" s="438">
        <f t="shared" si="2"/>
        <v>1</v>
      </c>
      <c r="U352" s="564"/>
      <c r="V352" s="564"/>
      <c r="W352" s="564"/>
      <c r="X352" s="564"/>
      <c r="Y352" s="564"/>
      <c r="Z352" s="564"/>
      <c r="AA352" s="564"/>
      <c r="AB352" s="564"/>
      <c r="AC352" s="564"/>
      <c r="AD352" s="564"/>
      <c r="AE352" s="564"/>
      <c r="AF352" s="564"/>
      <c r="AG352" s="564"/>
    </row>
    <row r="353">
      <c r="B353" s="670" t="s">
        <v>3517</v>
      </c>
      <c r="C353" s="438" t="s">
        <v>4136</v>
      </c>
      <c r="D353" s="671" t="s">
        <v>4223</v>
      </c>
      <c r="E353" s="672"/>
      <c r="F353" s="564"/>
      <c r="G353" s="564"/>
      <c r="H353" s="564"/>
      <c r="I353" s="564"/>
      <c r="J353" s="564"/>
      <c r="K353" s="564"/>
      <c r="L353" s="564"/>
      <c r="M353" s="564"/>
      <c r="N353" s="564"/>
      <c r="O353" s="564"/>
      <c r="P353" s="564"/>
      <c r="Q353" s="564"/>
      <c r="R353" s="438"/>
      <c r="S353" s="438"/>
      <c r="T353" s="438">
        <f t="shared" si="2"/>
        <v>1</v>
      </c>
      <c r="U353" s="564"/>
      <c r="V353" s="564"/>
      <c r="W353" s="564"/>
      <c r="X353" s="564"/>
      <c r="Y353" s="564"/>
      <c r="Z353" s="564"/>
      <c r="AA353" s="564"/>
      <c r="AB353" s="564"/>
      <c r="AC353" s="564"/>
      <c r="AD353" s="564"/>
      <c r="AE353" s="564"/>
      <c r="AF353" s="564"/>
      <c r="AG353" s="564"/>
    </row>
    <row r="354">
      <c r="B354" s="670" t="s">
        <v>3513</v>
      </c>
      <c r="C354" s="438" t="s">
        <v>4136</v>
      </c>
      <c r="D354" s="671" t="s">
        <v>4224</v>
      </c>
      <c r="E354" s="672"/>
      <c r="F354" s="564"/>
      <c r="G354" s="564"/>
      <c r="H354" s="564"/>
      <c r="I354" s="564"/>
      <c r="J354" s="564"/>
      <c r="K354" s="564"/>
      <c r="L354" s="564"/>
      <c r="M354" s="564"/>
      <c r="N354" s="564"/>
      <c r="O354" s="564"/>
      <c r="P354" s="564"/>
      <c r="Q354" s="564"/>
      <c r="R354" s="438"/>
      <c r="S354" s="438"/>
      <c r="T354" s="438">
        <f t="shared" si="2"/>
        <v>1</v>
      </c>
      <c r="U354" s="564"/>
      <c r="V354" s="564"/>
      <c r="W354" s="564"/>
      <c r="X354" s="564"/>
      <c r="Y354" s="564"/>
      <c r="Z354" s="564"/>
      <c r="AA354" s="564"/>
      <c r="AB354" s="564"/>
      <c r="AC354" s="564"/>
      <c r="AD354" s="564"/>
      <c r="AE354" s="564"/>
      <c r="AF354" s="564"/>
      <c r="AG354" s="564"/>
    </row>
    <row r="355">
      <c r="B355" s="670" t="s">
        <v>4225</v>
      </c>
      <c r="C355" s="438" t="s">
        <v>4136</v>
      </c>
      <c r="D355" s="671" t="s">
        <v>4226</v>
      </c>
      <c r="E355" s="672"/>
      <c r="F355" s="564"/>
      <c r="G355" s="564"/>
      <c r="H355" s="564"/>
      <c r="I355" s="564"/>
      <c r="J355" s="564"/>
      <c r="K355" s="564"/>
      <c r="L355" s="564"/>
      <c r="M355" s="564"/>
      <c r="N355" s="564"/>
      <c r="O355" s="564"/>
      <c r="P355" s="564"/>
      <c r="Q355" s="564"/>
      <c r="R355" s="438"/>
      <c r="S355" s="438"/>
      <c r="T355" s="438">
        <f t="shared" si="2"/>
        <v>1</v>
      </c>
      <c r="U355" s="564"/>
      <c r="V355" s="564"/>
      <c r="W355" s="564"/>
      <c r="X355" s="564"/>
      <c r="Y355" s="564"/>
      <c r="Z355" s="564"/>
      <c r="AA355" s="564"/>
      <c r="AB355" s="564"/>
      <c r="AC355" s="564"/>
      <c r="AD355" s="564"/>
      <c r="AE355" s="564"/>
      <c r="AF355" s="564"/>
      <c r="AG355" s="564"/>
    </row>
    <row r="356">
      <c r="B356" s="670" t="s">
        <v>3505</v>
      </c>
      <c r="C356" s="438" t="s">
        <v>4136</v>
      </c>
      <c r="D356" s="671" t="s">
        <v>4227</v>
      </c>
      <c r="E356" s="672"/>
      <c r="F356" s="564"/>
      <c r="G356" s="564"/>
      <c r="H356" s="564"/>
      <c r="I356" s="564"/>
      <c r="J356" s="564"/>
      <c r="K356" s="564"/>
      <c r="L356" s="564"/>
      <c r="M356" s="564"/>
      <c r="N356" s="564"/>
      <c r="O356" s="564"/>
      <c r="P356" s="564"/>
      <c r="Q356" s="564"/>
      <c r="R356" s="438"/>
      <c r="S356" s="438"/>
      <c r="T356" s="438">
        <f t="shared" si="2"/>
        <v>1</v>
      </c>
      <c r="U356" s="564"/>
      <c r="V356" s="564"/>
      <c r="W356" s="564"/>
      <c r="X356" s="564"/>
      <c r="Y356" s="564"/>
      <c r="Z356" s="564"/>
      <c r="AA356" s="564"/>
      <c r="AB356" s="564"/>
      <c r="AC356" s="564"/>
      <c r="AD356" s="564"/>
      <c r="AE356" s="564"/>
      <c r="AF356" s="564"/>
      <c r="AG356" s="564"/>
    </row>
    <row r="357">
      <c r="B357" s="670" t="s">
        <v>3270</v>
      </c>
      <c r="C357" s="568" t="s">
        <v>4228</v>
      </c>
      <c r="D357" s="671" t="s">
        <v>4201</v>
      </c>
      <c r="E357" s="673" t="s">
        <v>3728</v>
      </c>
      <c r="F357" s="438">
        <v>8.0</v>
      </c>
      <c r="G357" s="438">
        <v>9.0</v>
      </c>
      <c r="H357" s="564"/>
      <c r="I357" s="564"/>
      <c r="J357" s="564"/>
      <c r="K357" s="564"/>
      <c r="L357" s="564"/>
      <c r="M357" s="564"/>
      <c r="N357" s="564"/>
      <c r="O357" s="564"/>
      <c r="P357" s="564"/>
      <c r="Q357" s="564"/>
      <c r="R357" s="438"/>
      <c r="S357" s="438"/>
      <c r="T357" s="438" t="str">
        <f t="shared" si="2"/>
        <v/>
      </c>
      <c r="U357" s="564"/>
      <c r="V357" s="564"/>
      <c r="W357" s="564"/>
      <c r="X357" s="564"/>
      <c r="Y357" s="564"/>
      <c r="Z357" s="564"/>
      <c r="AA357" s="564"/>
      <c r="AB357" s="564"/>
      <c r="AC357" s="564"/>
      <c r="AD357" s="564"/>
      <c r="AE357" s="564"/>
      <c r="AF357" s="564"/>
      <c r="AG357" s="564"/>
    </row>
    <row r="358">
      <c r="B358" s="670" t="s">
        <v>3497</v>
      </c>
      <c r="C358" s="438" t="s">
        <v>4136</v>
      </c>
      <c r="D358" s="671" t="s">
        <v>4229</v>
      </c>
      <c r="E358" s="672"/>
      <c r="F358" s="564"/>
      <c r="G358" s="564"/>
      <c r="H358" s="564"/>
      <c r="I358" s="564"/>
      <c r="J358" s="564"/>
      <c r="K358" s="564"/>
      <c r="L358" s="564"/>
      <c r="M358" s="564"/>
      <c r="N358" s="564"/>
      <c r="O358" s="564"/>
      <c r="P358" s="564"/>
      <c r="Q358" s="564"/>
      <c r="R358" s="438"/>
      <c r="S358" s="438"/>
      <c r="T358" s="438">
        <f t="shared" si="2"/>
        <v>1</v>
      </c>
      <c r="U358" s="564"/>
      <c r="V358" s="564"/>
      <c r="W358" s="564"/>
      <c r="X358" s="564"/>
      <c r="Y358" s="564"/>
      <c r="Z358" s="564"/>
      <c r="AA358" s="564"/>
      <c r="AB358" s="564"/>
      <c r="AC358" s="564"/>
      <c r="AD358" s="564"/>
      <c r="AE358" s="564"/>
      <c r="AF358" s="564"/>
      <c r="AG358" s="564"/>
    </row>
    <row r="359">
      <c r="B359" s="670" t="s">
        <v>3493</v>
      </c>
      <c r="C359" s="438" t="s">
        <v>4136</v>
      </c>
      <c r="D359" s="671" t="s">
        <v>4230</v>
      </c>
      <c r="E359" s="672"/>
      <c r="F359" s="564"/>
      <c r="G359" s="564"/>
      <c r="H359" s="564"/>
      <c r="I359" s="564"/>
      <c r="J359" s="564"/>
      <c r="K359" s="564"/>
      <c r="L359" s="564"/>
      <c r="M359" s="564"/>
      <c r="N359" s="564"/>
      <c r="O359" s="564"/>
      <c r="P359" s="564"/>
      <c r="Q359" s="564"/>
      <c r="R359" s="438"/>
      <c r="S359" s="438"/>
      <c r="T359" s="438">
        <f t="shared" si="2"/>
        <v>1</v>
      </c>
      <c r="U359" s="564"/>
      <c r="V359" s="564"/>
      <c r="W359" s="564"/>
      <c r="X359" s="564"/>
      <c r="Y359" s="564"/>
      <c r="Z359" s="564"/>
      <c r="AA359" s="564"/>
      <c r="AB359" s="564"/>
      <c r="AC359" s="564"/>
      <c r="AD359" s="564"/>
      <c r="AE359" s="564"/>
      <c r="AF359" s="564"/>
      <c r="AG359" s="564"/>
    </row>
    <row r="360">
      <c r="B360" s="670" t="s">
        <v>3489</v>
      </c>
      <c r="C360" s="438" t="s">
        <v>4136</v>
      </c>
      <c r="D360" s="671" t="s">
        <v>4231</v>
      </c>
      <c r="E360" s="672"/>
      <c r="F360" s="564"/>
      <c r="G360" s="564"/>
      <c r="H360" s="564"/>
      <c r="I360" s="564"/>
      <c r="J360" s="564"/>
      <c r="K360" s="564"/>
      <c r="L360" s="564"/>
      <c r="M360" s="564"/>
      <c r="N360" s="564"/>
      <c r="O360" s="564"/>
      <c r="P360" s="564"/>
      <c r="Q360" s="564"/>
      <c r="R360" s="438"/>
      <c r="S360" s="438"/>
      <c r="T360" s="438">
        <f t="shared" si="2"/>
        <v>1</v>
      </c>
      <c r="U360" s="564"/>
      <c r="V360" s="564"/>
      <c r="W360" s="564"/>
      <c r="X360" s="564"/>
      <c r="Y360" s="564"/>
      <c r="Z360" s="564"/>
      <c r="AA360" s="564"/>
      <c r="AB360" s="564"/>
      <c r="AC360" s="564"/>
      <c r="AD360" s="564"/>
      <c r="AE360" s="564"/>
      <c r="AF360" s="564"/>
      <c r="AG360" s="564"/>
    </row>
    <row r="361">
      <c r="B361" s="670" t="s">
        <v>3264</v>
      </c>
      <c r="C361" s="341" t="s">
        <v>4136</v>
      </c>
      <c r="D361" s="671" t="s">
        <v>4232</v>
      </c>
      <c r="E361" s="672"/>
      <c r="F361" s="564"/>
      <c r="G361" s="564"/>
      <c r="H361" s="564"/>
      <c r="I361" s="564"/>
      <c r="J361" s="564"/>
      <c r="K361" s="564"/>
      <c r="L361" s="564"/>
      <c r="M361" s="564"/>
      <c r="N361" s="564"/>
      <c r="O361" s="564"/>
      <c r="P361" s="564"/>
      <c r="Q361" s="564"/>
      <c r="R361" s="438"/>
      <c r="S361" s="438"/>
      <c r="T361" s="438">
        <f t="shared" si="2"/>
        <v>1</v>
      </c>
      <c r="U361" s="564"/>
      <c r="V361" s="564"/>
      <c r="W361" s="564"/>
      <c r="X361" s="564"/>
      <c r="Y361" s="564"/>
      <c r="Z361" s="564"/>
      <c r="AA361" s="564"/>
      <c r="AB361" s="564"/>
      <c r="AC361" s="564"/>
      <c r="AD361" s="564"/>
      <c r="AE361" s="564"/>
      <c r="AF361" s="564"/>
      <c r="AG361" s="564"/>
    </row>
    <row r="362">
      <c r="B362" s="670" t="s">
        <v>3482</v>
      </c>
      <c r="C362" s="341" t="s">
        <v>4136</v>
      </c>
      <c r="D362" s="671" t="s">
        <v>4233</v>
      </c>
      <c r="E362" s="672"/>
      <c r="F362" s="564"/>
      <c r="G362" s="564"/>
      <c r="H362" s="564"/>
      <c r="I362" s="564"/>
      <c r="J362" s="564"/>
      <c r="K362" s="564"/>
      <c r="L362" s="564"/>
      <c r="M362" s="564"/>
      <c r="N362" s="564"/>
      <c r="O362" s="564"/>
      <c r="P362" s="564"/>
      <c r="Q362" s="564"/>
      <c r="R362" s="438"/>
      <c r="S362" s="438"/>
      <c r="T362" s="438">
        <f t="shared" si="2"/>
        <v>1</v>
      </c>
      <c r="U362" s="564"/>
      <c r="V362" s="564"/>
      <c r="W362" s="564"/>
      <c r="X362" s="564"/>
      <c r="Y362" s="564"/>
      <c r="Z362" s="564"/>
      <c r="AA362" s="564"/>
      <c r="AB362" s="564"/>
      <c r="AC362" s="564"/>
      <c r="AD362" s="564"/>
      <c r="AE362" s="564"/>
      <c r="AF362" s="564"/>
      <c r="AG362" s="564"/>
    </row>
    <row r="363">
      <c r="B363" s="670" t="s">
        <v>3478</v>
      </c>
      <c r="C363" s="341" t="s">
        <v>4136</v>
      </c>
      <c r="D363" s="671" t="s">
        <v>4234</v>
      </c>
      <c r="E363" s="672"/>
      <c r="F363" s="564"/>
      <c r="G363" s="564"/>
      <c r="H363" s="564"/>
      <c r="I363" s="564"/>
      <c r="J363" s="564"/>
      <c r="K363" s="564"/>
      <c r="L363" s="564"/>
      <c r="M363" s="564"/>
      <c r="N363" s="564"/>
      <c r="O363" s="564"/>
      <c r="P363" s="564"/>
      <c r="Q363" s="564"/>
      <c r="R363" s="438"/>
      <c r="S363" s="438"/>
      <c r="T363" s="438">
        <f t="shared" si="2"/>
        <v>1</v>
      </c>
      <c r="U363" s="564"/>
      <c r="V363" s="564"/>
      <c r="W363" s="564"/>
      <c r="X363" s="564"/>
      <c r="Y363" s="564"/>
      <c r="Z363" s="564"/>
      <c r="AA363" s="564"/>
      <c r="AB363" s="564"/>
      <c r="AC363" s="564"/>
      <c r="AD363" s="564"/>
      <c r="AE363" s="564"/>
      <c r="AF363" s="564"/>
      <c r="AG363" s="564"/>
    </row>
    <row r="364">
      <c r="B364" s="670" t="s">
        <v>3474</v>
      </c>
      <c r="C364" s="438" t="s">
        <v>4136</v>
      </c>
      <c r="D364" s="671" t="s">
        <v>4235</v>
      </c>
      <c r="E364" s="672"/>
      <c r="F364" s="564"/>
      <c r="G364" s="564"/>
      <c r="H364" s="564"/>
      <c r="I364" s="564"/>
      <c r="J364" s="564"/>
      <c r="K364" s="564"/>
      <c r="L364" s="564"/>
      <c r="M364" s="564"/>
      <c r="N364" s="564"/>
      <c r="O364" s="564"/>
      <c r="P364" s="564"/>
      <c r="Q364" s="564"/>
      <c r="R364" s="438"/>
      <c r="S364" s="438"/>
      <c r="T364" s="438">
        <f t="shared" si="2"/>
        <v>1</v>
      </c>
      <c r="U364" s="564"/>
      <c r="V364" s="564"/>
      <c r="W364" s="564"/>
      <c r="X364" s="564"/>
      <c r="Y364" s="564"/>
      <c r="Z364" s="564"/>
      <c r="AA364" s="564"/>
      <c r="AB364" s="564"/>
      <c r="AC364" s="564"/>
      <c r="AD364" s="564"/>
      <c r="AE364" s="564"/>
      <c r="AF364" s="564"/>
      <c r="AG364" s="564"/>
    </row>
    <row r="365">
      <c r="B365" s="670" t="s">
        <v>3470</v>
      </c>
      <c r="C365" s="341" t="s">
        <v>4136</v>
      </c>
      <c r="D365" s="671" t="s">
        <v>4236</v>
      </c>
      <c r="E365" s="672"/>
      <c r="F365" s="564"/>
      <c r="G365" s="564"/>
      <c r="H365" s="564"/>
      <c r="I365" s="564"/>
      <c r="J365" s="564"/>
      <c r="K365" s="564"/>
      <c r="L365" s="564"/>
      <c r="M365" s="564"/>
      <c r="N365" s="564"/>
      <c r="O365" s="564"/>
      <c r="P365" s="564"/>
      <c r="Q365" s="564"/>
      <c r="R365" s="438"/>
      <c r="S365" s="438"/>
      <c r="T365" s="438">
        <f t="shared" si="2"/>
        <v>1</v>
      </c>
      <c r="U365" s="564"/>
      <c r="V365" s="564"/>
      <c r="W365" s="564"/>
      <c r="X365" s="564"/>
      <c r="Y365" s="564"/>
      <c r="Z365" s="564"/>
      <c r="AA365" s="564"/>
      <c r="AB365" s="564"/>
      <c r="AC365" s="564"/>
      <c r="AD365" s="564"/>
      <c r="AE365" s="564"/>
      <c r="AF365" s="564"/>
      <c r="AG365" s="564"/>
    </row>
    <row r="366">
      <c r="B366" s="670" t="s">
        <v>3466</v>
      </c>
      <c r="C366" s="341" t="s">
        <v>4136</v>
      </c>
      <c r="D366" s="671" t="s">
        <v>4237</v>
      </c>
      <c r="E366" s="672"/>
      <c r="F366" s="564"/>
      <c r="G366" s="564"/>
      <c r="H366" s="564"/>
      <c r="I366" s="564"/>
      <c r="J366" s="564"/>
      <c r="K366" s="564"/>
      <c r="L366" s="564"/>
      <c r="M366" s="564"/>
      <c r="N366" s="564"/>
      <c r="O366" s="564"/>
      <c r="P366" s="564"/>
      <c r="Q366" s="564"/>
      <c r="R366" s="438"/>
      <c r="S366" s="438"/>
      <c r="T366" s="438">
        <f t="shared" si="2"/>
        <v>1</v>
      </c>
      <c r="U366" s="564"/>
      <c r="V366" s="564"/>
      <c r="W366" s="564"/>
      <c r="X366" s="564"/>
      <c r="Y366" s="564"/>
      <c r="Z366" s="564"/>
      <c r="AA366" s="564"/>
      <c r="AB366" s="564"/>
      <c r="AC366" s="564"/>
      <c r="AD366" s="564"/>
      <c r="AE366" s="564"/>
      <c r="AF366" s="564"/>
      <c r="AG366" s="564"/>
    </row>
    <row r="367">
      <c r="B367" s="670" t="s">
        <v>3262</v>
      </c>
      <c r="C367" s="341" t="s">
        <v>4136</v>
      </c>
      <c r="D367" s="671" t="s">
        <v>4238</v>
      </c>
      <c r="E367" s="672"/>
      <c r="F367" s="564"/>
      <c r="G367" s="564"/>
      <c r="H367" s="564"/>
      <c r="I367" s="564"/>
      <c r="J367" s="564"/>
      <c r="K367" s="564"/>
      <c r="L367" s="564"/>
      <c r="M367" s="564"/>
      <c r="N367" s="564"/>
      <c r="O367" s="564"/>
      <c r="P367" s="564"/>
      <c r="Q367" s="564"/>
      <c r="R367" s="438"/>
      <c r="S367" s="438"/>
      <c r="T367" s="438">
        <f t="shared" si="2"/>
        <v>1</v>
      </c>
      <c r="U367" s="564"/>
      <c r="V367" s="564"/>
      <c r="W367" s="564"/>
      <c r="X367" s="564"/>
      <c r="Y367" s="564"/>
      <c r="Z367" s="564"/>
      <c r="AA367" s="564"/>
      <c r="AB367" s="564"/>
      <c r="AC367" s="564"/>
      <c r="AD367" s="564"/>
      <c r="AE367" s="564"/>
      <c r="AF367" s="564"/>
      <c r="AG367" s="564"/>
    </row>
    <row r="368">
      <c r="B368" s="670" t="s">
        <v>3459</v>
      </c>
      <c r="C368" s="341" t="s">
        <v>4136</v>
      </c>
      <c r="D368" s="671" t="s">
        <v>4239</v>
      </c>
      <c r="E368" s="672"/>
      <c r="F368" s="564"/>
      <c r="G368" s="564"/>
      <c r="H368" s="564"/>
      <c r="I368" s="564"/>
      <c r="J368" s="564"/>
      <c r="K368" s="564"/>
      <c r="L368" s="564"/>
      <c r="M368" s="564"/>
      <c r="N368" s="564"/>
      <c r="O368" s="564"/>
      <c r="P368" s="564"/>
      <c r="Q368" s="564"/>
      <c r="R368" s="438"/>
      <c r="S368" s="438"/>
      <c r="T368" s="438">
        <f t="shared" si="2"/>
        <v>1</v>
      </c>
      <c r="U368" s="564"/>
      <c r="V368" s="564"/>
      <c r="W368" s="564"/>
      <c r="X368" s="564"/>
      <c r="Y368" s="564"/>
      <c r="Z368" s="564"/>
      <c r="AA368" s="564"/>
      <c r="AB368" s="564"/>
      <c r="AC368" s="564"/>
      <c r="AD368" s="564"/>
      <c r="AE368" s="564"/>
      <c r="AF368" s="564"/>
      <c r="AG368" s="564"/>
    </row>
    <row r="369">
      <c r="B369" s="670" t="s">
        <v>3455</v>
      </c>
      <c r="C369" s="341" t="s">
        <v>4136</v>
      </c>
      <c r="D369" s="671" t="s">
        <v>4240</v>
      </c>
      <c r="E369" s="672"/>
      <c r="F369" s="564"/>
      <c r="G369" s="564"/>
      <c r="H369" s="564"/>
      <c r="I369" s="564"/>
      <c r="J369" s="564"/>
      <c r="K369" s="564"/>
      <c r="L369" s="564"/>
      <c r="M369" s="564"/>
      <c r="N369" s="564"/>
      <c r="O369" s="564"/>
      <c r="P369" s="564"/>
      <c r="Q369" s="564"/>
      <c r="R369" s="438"/>
      <c r="S369" s="438"/>
      <c r="T369" s="438">
        <f t="shared" si="2"/>
        <v>1</v>
      </c>
      <c r="U369" s="564"/>
      <c r="V369" s="564"/>
      <c r="W369" s="564"/>
      <c r="X369" s="564"/>
      <c r="Y369" s="564"/>
      <c r="Z369" s="564"/>
      <c r="AA369" s="564"/>
      <c r="AB369" s="564"/>
      <c r="AC369" s="564"/>
      <c r="AD369" s="564"/>
      <c r="AE369" s="564"/>
      <c r="AF369" s="564"/>
      <c r="AG369" s="564"/>
    </row>
    <row r="370">
      <c r="B370" s="670" t="s">
        <v>3451</v>
      </c>
      <c r="C370" s="438" t="s">
        <v>4136</v>
      </c>
      <c r="D370" s="671" t="s">
        <v>4241</v>
      </c>
      <c r="E370" s="672"/>
      <c r="F370" s="564"/>
      <c r="G370" s="564"/>
      <c r="H370" s="564"/>
      <c r="I370" s="564"/>
      <c r="J370" s="564"/>
      <c r="K370" s="564"/>
      <c r="L370" s="564"/>
      <c r="M370" s="564"/>
      <c r="N370" s="564"/>
      <c r="O370" s="564"/>
      <c r="P370" s="564"/>
      <c r="Q370" s="564"/>
      <c r="R370" s="438"/>
      <c r="S370" s="438"/>
      <c r="T370" s="438">
        <f t="shared" si="2"/>
        <v>1</v>
      </c>
      <c r="U370" s="564"/>
      <c r="V370" s="564"/>
      <c r="W370" s="564"/>
      <c r="X370" s="564"/>
      <c r="Y370" s="564"/>
      <c r="Z370" s="564"/>
      <c r="AA370" s="564"/>
      <c r="AB370" s="564"/>
      <c r="AC370" s="564"/>
      <c r="AD370" s="564"/>
      <c r="AE370" s="564"/>
      <c r="AF370" s="564"/>
      <c r="AG370" s="564"/>
    </row>
    <row r="371">
      <c r="B371" s="670" t="s">
        <v>3447</v>
      </c>
      <c r="C371" s="341" t="s">
        <v>4136</v>
      </c>
      <c r="D371" s="671" t="s">
        <v>4242</v>
      </c>
      <c r="E371" s="672"/>
      <c r="F371" s="564"/>
      <c r="G371" s="564"/>
      <c r="H371" s="564"/>
      <c r="I371" s="564"/>
      <c r="J371" s="564"/>
      <c r="K371" s="564"/>
      <c r="L371" s="564"/>
      <c r="M371" s="564"/>
      <c r="N371" s="564"/>
      <c r="O371" s="564"/>
      <c r="P371" s="564"/>
      <c r="Q371" s="564"/>
      <c r="R371" s="438"/>
      <c r="S371" s="438"/>
      <c r="T371" s="438">
        <f t="shared" si="2"/>
        <v>1</v>
      </c>
      <c r="U371" s="564"/>
      <c r="V371" s="564"/>
      <c r="W371" s="564"/>
      <c r="X371" s="564"/>
      <c r="Y371" s="564"/>
      <c r="Z371" s="564"/>
      <c r="AA371" s="564"/>
      <c r="AB371" s="564"/>
      <c r="AC371" s="564"/>
      <c r="AD371" s="564"/>
      <c r="AE371" s="564"/>
      <c r="AF371" s="564"/>
      <c r="AG371" s="564"/>
    </row>
    <row r="372">
      <c r="B372" s="670" t="s">
        <v>3443</v>
      </c>
      <c r="C372" s="438" t="s">
        <v>4136</v>
      </c>
      <c r="D372" s="671" t="s">
        <v>4243</v>
      </c>
      <c r="E372" s="672"/>
      <c r="F372" s="564"/>
      <c r="G372" s="564"/>
      <c r="H372" s="564"/>
      <c r="I372" s="564"/>
      <c r="J372" s="564"/>
      <c r="K372" s="564"/>
      <c r="L372" s="564"/>
      <c r="M372" s="564"/>
      <c r="N372" s="564"/>
      <c r="O372" s="564"/>
      <c r="P372" s="564"/>
      <c r="Q372" s="564"/>
      <c r="R372" s="438"/>
      <c r="S372" s="438"/>
      <c r="T372" s="438">
        <f t="shared" si="2"/>
        <v>1</v>
      </c>
      <c r="U372" s="564"/>
      <c r="V372" s="564"/>
      <c r="W372" s="564"/>
      <c r="X372" s="564"/>
      <c r="Y372" s="564"/>
      <c r="Z372" s="564"/>
      <c r="AA372" s="564"/>
      <c r="AB372" s="564"/>
      <c r="AC372" s="564"/>
      <c r="AD372" s="564"/>
      <c r="AE372" s="564"/>
      <c r="AF372" s="564"/>
      <c r="AG372" s="564"/>
    </row>
    <row r="373">
      <c r="B373" s="670" t="s">
        <v>3439</v>
      </c>
      <c r="C373" s="341" t="s">
        <v>4136</v>
      </c>
      <c r="D373" s="671" t="s">
        <v>4244</v>
      </c>
      <c r="E373" s="672"/>
      <c r="F373" s="564"/>
      <c r="G373" s="564"/>
      <c r="H373" s="564"/>
      <c r="I373" s="564"/>
      <c r="J373" s="564"/>
      <c r="K373" s="564"/>
      <c r="L373" s="564"/>
      <c r="M373" s="564"/>
      <c r="N373" s="564"/>
      <c r="O373" s="564"/>
      <c r="P373" s="564"/>
      <c r="Q373" s="564"/>
      <c r="R373" s="438"/>
      <c r="S373" s="438"/>
      <c r="T373" s="438">
        <f t="shared" si="2"/>
        <v>1</v>
      </c>
      <c r="U373" s="564"/>
      <c r="V373" s="564"/>
      <c r="W373" s="564"/>
      <c r="X373" s="564"/>
      <c r="Y373" s="564"/>
      <c r="Z373" s="564"/>
      <c r="AA373" s="564"/>
      <c r="AB373" s="564"/>
      <c r="AC373" s="564"/>
      <c r="AD373" s="564"/>
      <c r="AE373" s="564"/>
      <c r="AF373" s="564"/>
      <c r="AG373" s="564"/>
    </row>
    <row r="374">
      <c r="B374" s="670" t="s">
        <v>3435</v>
      </c>
      <c r="C374" s="438" t="s">
        <v>4136</v>
      </c>
      <c r="D374" s="671" t="s">
        <v>4245</v>
      </c>
      <c r="E374" s="672"/>
      <c r="F374" s="564"/>
      <c r="G374" s="564"/>
      <c r="H374" s="564"/>
      <c r="I374" s="564"/>
      <c r="J374" s="564"/>
      <c r="K374" s="564"/>
      <c r="L374" s="564"/>
      <c r="M374" s="564"/>
      <c r="N374" s="564"/>
      <c r="O374" s="564"/>
      <c r="P374" s="564"/>
      <c r="Q374" s="564"/>
      <c r="R374" s="438"/>
      <c r="S374" s="438"/>
      <c r="T374" s="438">
        <f t="shared" si="2"/>
        <v>1</v>
      </c>
      <c r="U374" s="564"/>
      <c r="V374" s="564"/>
      <c r="W374" s="564"/>
      <c r="X374" s="564"/>
      <c r="Y374" s="564"/>
      <c r="Z374" s="564"/>
      <c r="AA374" s="564"/>
      <c r="AB374" s="564"/>
      <c r="AC374" s="564"/>
      <c r="AD374" s="564"/>
      <c r="AE374" s="564"/>
      <c r="AF374" s="564"/>
      <c r="AG374" s="564"/>
    </row>
    <row r="375">
      <c r="B375" s="670" t="s">
        <v>3432</v>
      </c>
      <c r="C375" s="341" t="s">
        <v>4136</v>
      </c>
      <c r="D375" s="671" t="s">
        <v>4246</v>
      </c>
      <c r="E375" s="672"/>
      <c r="F375" s="564"/>
      <c r="G375" s="564"/>
      <c r="H375" s="564"/>
      <c r="I375" s="564"/>
      <c r="J375" s="564"/>
      <c r="K375" s="564"/>
      <c r="L375" s="564"/>
      <c r="M375" s="564"/>
      <c r="N375" s="564"/>
      <c r="O375" s="564"/>
      <c r="P375" s="564"/>
      <c r="Q375" s="564"/>
      <c r="R375" s="438"/>
      <c r="S375" s="438"/>
      <c r="T375" s="438">
        <f t="shared" si="2"/>
        <v>1</v>
      </c>
      <c r="U375" s="564"/>
      <c r="V375" s="564"/>
      <c r="W375" s="564"/>
      <c r="X375" s="564"/>
      <c r="Y375" s="564"/>
      <c r="Z375" s="564"/>
      <c r="AA375" s="564"/>
      <c r="AB375" s="564"/>
      <c r="AC375" s="564"/>
      <c r="AD375" s="564"/>
      <c r="AE375" s="564"/>
      <c r="AF375" s="564"/>
      <c r="AG375" s="564"/>
    </row>
    <row r="376">
      <c r="B376" s="670" t="s">
        <v>3428</v>
      </c>
      <c r="C376" s="438" t="s">
        <v>4136</v>
      </c>
      <c r="D376" s="671" t="s">
        <v>4247</v>
      </c>
      <c r="E376" s="672"/>
      <c r="F376" s="564"/>
      <c r="G376" s="564"/>
      <c r="H376" s="564"/>
      <c r="I376" s="564"/>
      <c r="J376" s="564"/>
      <c r="K376" s="564"/>
      <c r="L376" s="564"/>
      <c r="M376" s="564"/>
      <c r="N376" s="564"/>
      <c r="O376" s="564"/>
      <c r="P376" s="564"/>
      <c r="Q376" s="564"/>
      <c r="R376" s="438"/>
      <c r="S376" s="438"/>
      <c r="T376" s="438">
        <f t="shared" si="2"/>
        <v>1</v>
      </c>
      <c r="U376" s="564"/>
      <c r="V376" s="564"/>
      <c r="W376" s="564"/>
      <c r="X376" s="564"/>
      <c r="Y376" s="564"/>
      <c r="Z376" s="564"/>
      <c r="AA376" s="564"/>
      <c r="AB376" s="564"/>
      <c r="AC376" s="564"/>
      <c r="AD376" s="564"/>
      <c r="AE376" s="564"/>
      <c r="AF376" s="564"/>
      <c r="AG376" s="564"/>
    </row>
    <row r="377">
      <c r="B377" s="670" t="s">
        <v>3424</v>
      </c>
      <c r="C377" s="341" t="s">
        <v>4136</v>
      </c>
      <c r="D377" s="671" t="s">
        <v>4248</v>
      </c>
      <c r="E377" s="672"/>
      <c r="F377" s="564"/>
      <c r="G377" s="564"/>
      <c r="H377" s="564"/>
      <c r="I377" s="564"/>
      <c r="J377" s="564"/>
      <c r="K377" s="564"/>
      <c r="L377" s="564"/>
      <c r="M377" s="564"/>
      <c r="N377" s="564"/>
      <c r="O377" s="564"/>
      <c r="P377" s="564"/>
      <c r="Q377" s="564"/>
      <c r="R377" s="438"/>
      <c r="S377" s="438"/>
      <c r="T377" s="438">
        <f t="shared" si="2"/>
        <v>1</v>
      </c>
      <c r="U377" s="564"/>
      <c r="V377" s="564"/>
      <c r="W377" s="564"/>
      <c r="X377" s="564"/>
      <c r="Y377" s="564"/>
      <c r="Z377" s="564"/>
      <c r="AA377" s="564"/>
      <c r="AB377" s="564"/>
      <c r="AC377" s="564"/>
      <c r="AD377" s="564"/>
      <c r="AE377" s="564"/>
      <c r="AF377" s="564"/>
      <c r="AG377" s="564"/>
    </row>
    <row r="378">
      <c r="B378" s="670" t="s">
        <v>3420</v>
      </c>
      <c r="C378" s="438" t="s">
        <v>4136</v>
      </c>
      <c r="D378" s="671" t="s">
        <v>4249</v>
      </c>
      <c r="E378" s="672"/>
      <c r="F378" s="564"/>
      <c r="G378" s="564"/>
      <c r="H378" s="564"/>
      <c r="I378" s="564"/>
      <c r="J378" s="564"/>
      <c r="K378" s="564"/>
      <c r="L378" s="564"/>
      <c r="M378" s="564"/>
      <c r="N378" s="564"/>
      <c r="O378" s="564"/>
      <c r="P378" s="564"/>
      <c r="Q378" s="564"/>
      <c r="R378" s="438"/>
      <c r="S378" s="438"/>
      <c r="T378" s="438">
        <f t="shared" si="2"/>
        <v>1</v>
      </c>
      <c r="U378" s="564"/>
      <c r="V378" s="564"/>
      <c r="W378" s="564"/>
      <c r="X378" s="564"/>
      <c r="Y378" s="564"/>
      <c r="Z378" s="564"/>
      <c r="AA378" s="564"/>
      <c r="AB378" s="564"/>
      <c r="AC378" s="564"/>
      <c r="AD378" s="564"/>
      <c r="AE378" s="564"/>
      <c r="AF378" s="564"/>
      <c r="AG378" s="564"/>
    </row>
    <row r="379">
      <c r="B379" s="670" t="s">
        <v>3416</v>
      </c>
      <c r="C379" s="341" t="s">
        <v>4136</v>
      </c>
      <c r="D379" s="671" t="s">
        <v>4250</v>
      </c>
      <c r="E379" s="672"/>
      <c r="F379" s="564"/>
      <c r="G379" s="564"/>
      <c r="H379" s="564"/>
      <c r="I379" s="564"/>
      <c r="J379" s="564"/>
      <c r="K379" s="564"/>
      <c r="L379" s="564"/>
      <c r="M379" s="564"/>
      <c r="N379" s="564"/>
      <c r="O379" s="564"/>
      <c r="P379" s="564"/>
      <c r="Q379" s="564"/>
      <c r="R379" s="438"/>
      <c r="S379" s="438"/>
      <c r="T379" s="438">
        <f t="shared" si="2"/>
        <v>1</v>
      </c>
      <c r="U379" s="564"/>
      <c r="V379" s="564"/>
      <c r="W379" s="564"/>
      <c r="X379" s="564"/>
      <c r="Y379" s="564"/>
      <c r="Z379" s="564"/>
      <c r="AA379" s="564"/>
      <c r="AB379" s="564"/>
      <c r="AC379" s="564"/>
      <c r="AD379" s="564"/>
      <c r="AE379" s="564"/>
      <c r="AF379" s="564"/>
      <c r="AG379" s="564"/>
    </row>
    <row r="380">
      <c r="B380" s="670" t="s">
        <v>3412</v>
      </c>
      <c r="C380" s="438" t="s">
        <v>4136</v>
      </c>
      <c r="D380" s="671" t="s">
        <v>4251</v>
      </c>
      <c r="E380" s="672"/>
      <c r="F380" s="564"/>
      <c r="G380" s="564"/>
      <c r="H380" s="564"/>
      <c r="I380" s="564"/>
      <c r="J380" s="564"/>
      <c r="K380" s="564"/>
      <c r="L380" s="564"/>
      <c r="M380" s="564"/>
      <c r="N380" s="564"/>
      <c r="O380" s="564"/>
      <c r="P380" s="564"/>
      <c r="Q380" s="564"/>
      <c r="R380" s="438"/>
      <c r="S380" s="438"/>
      <c r="T380" s="438">
        <f t="shared" si="2"/>
        <v>1</v>
      </c>
      <c r="U380" s="564"/>
      <c r="V380" s="564"/>
      <c r="W380" s="564"/>
      <c r="X380" s="564"/>
      <c r="Y380" s="564"/>
      <c r="Z380" s="564"/>
      <c r="AA380" s="564"/>
      <c r="AB380" s="564"/>
      <c r="AC380" s="564"/>
      <c r="AD380" s="564"/>
      <c r="AE380" s="564"/>
      <c r="AF380" s="564"/>
      <c r="AG380" s="564"/>
    </row>
    <row r="381">
      <c r="B381" s="670" t="s">
        <v>3408</v>
      </c>
      <c r="C381" s="568" t="s">
        <v>4253</v>
      </c>
      <c r="D381" s="671" t="s">
        <v>4252</v>
      </c>
      <c r="E381" s="673" t="s">
        <v>3728</v>
      </c>
      <c r="F381" s="438">
        <v>2040.0</v>
      </c>
      <c r="G381" s="438">
        <v>1773.0</v>
      </c>
      <c r="H381" s="564"/>
      <c r="I381" s="564"/>
      <c r="J381" s="564"/>
      <c r="K381" s="564"/>
      <c r="L381" s="564"/>
      <c r="M381" s="564"/>
      <c r="N381" s="564"/>
      <c r="O381" s="564"/>
      <c r="P381" s="564"/>
      <c r="Q381" s="564"/>
      <c r="R381" s="438"/>
      <c r="S381" s="438"/>
      <c r="T381" s="438" t="str">
        <f t="shared" si="2"/>
        <v/>
      </c>
      <c r="U381" s="564"/>
      <c r="V381" s="564"/>
      <c r="W381" s="564"/>
      <c r="X381" s="564"/>
      <c r="Y381" s="564"/>
      <c r="Z381" s="564"/>
      <c r="AA381" s="564"/>
      <c r="AB381" s="564"/>
      <c r="AC381" s="564"/>
      <c r="AD381" s="564"/>
      <c r="AE381" s="564"/>
      <c r="AF381" s="564"/>
      <c r="AG381" s="564"/>
    </row>
    <row r="382">
      <c r="B382" s="670" t="s">
        <v>3404</v>
      </c>
      <c r="C382" s="341" t="s">
        <v>4136</v>
      </c>
      <c r="D382" s="671" t="s">
        <v>4254</v>
      </c>
      <c r="E382" s="672"/>
      <c r="F382" s="564"/>
      <c r="G382" s="564"/>
      <c r="H382" s="564"/>
      <c r="I382" s="564"/>
      <c r="J382" s="564"/>
      <c r="K382" s="564"/>
      <c r="L382" s="564"/>
      <c r="M382" s="564"/>
      <c r="N382" s="564"/>
      <c r="O382" s="564"/>
      <c r="P382" s="564"/>
      <c r="Q382" s="564"/>
      <c r="R382" s="438"/>
      <c r="S382" s="438"/>
      <c r="T382" s="438">
        <f t="shared" si="2"/>
        <v>1</v>
      </c>
      <c r="U382" s="564"/>
      <c r="V382" s="564"/>
      <c r="W382" s="564"/>
      <c r="X382" s="564"/>
      <c r="Y382" s="564"/>
      <c r="Z382" s="564"/>
      <c r="AA382" s="564"/>
      <c r="AB382" s="564"/>
      <c r="AC382" s="564"/>
      <c r="AD382" s="564"/>
      <c r="AE382" s="564"/>
      <c r="AF382" s="564"/>
      <c r="AG382" s="564"/>
    </row>
    <row r="383">
      <c r="B383" s="670" t="s">
        <v>3400</v>
      </c>
      <c r="C383" s="341" t="s">
        <v>4136</v>
      </c>
      <c r="D383" s="671" t="s">
        <v>4255</v>
      </c>
      <c r="E383" s="672"/>
      <c r="F383" s="564"/>
      <c r="G383" s="564"/>
      <c r="H383" s="564"/>
      <c r="I383" s="564"/>
      <c r="J383" s="564"/>
      <c r="K383" s="564"/>
      <c r="L383" s="564"/>
      <c r="M383" s="564"/>
      <c r="N383" s="564"/>
      <c r="O383" s="564"/>
      <c r="P383" s="564"/>
      <c r="Q383" s="564"/>
      <c r="R383" s="438"/>
      <c r="S383" s="438"/>
      <c r="T383" s="438">
        <f t="shared" si="2"/>
        <v>1</v>
      </c>
      <c r="U383" s="564"/>
      <c r="V383" s="564"/>
      <c r="W383" s="564"/>
      <c r="X383" s="564"/>
      <c r="Y383" s="564"/>
      <c r="Z383" s="564"/>
      <c r="AA383" s="564"/>
      <c r="AB383" s="564"/>
      <c r="AC383" s="564"/>
      <c r="AD383" s="564"/>
      <c r="AE383" s="564"/>
      <c r="AF383" s="564"/>
      <c r="AG383" s="564"/>
    </row>
    <row r="384">
      <c r="B384" s="670" t="s">
        <v>3396</v>
      </c>
      <c r="C384" s="341" t="s">
        <v>4136</v>
      </c>
      <c r="D384" s="671" t="s">
        <v>4256</v>
      </c>
      <c r="E384" s="672"/>
      <c r="F384" s="564"/>
      <c r="G384" s="564"/>
      <c r="H384" s="564"/>
      <c r="I384" s="564"/>
      <c r="J384" s="564"/>
      <c r="K384" s="564"/>
      <c r="L384" s="564"/>
      <c r="M384" s="564"/>
      <c r="N384" s="564"/>
      <c r="O384" s="564"/>
      <c r="P384" s="564"/>
      <c r="Q384" s="564"/>
      <c r="R384" s="438"/>
      <c r="S384" s="438"/>
      <c r="T384" s="438">
        <f t="shared" si="2"/>
        <v>1</v>
      </c>
      <c r="U384" s="564"/>
      <c r="V384" s="564"/>
      <c r="W384" s="564"/>
      <c r="X384" s="564"/>
      <c r="Y384" s="564"/>
      <c r="Z384" s="564"/>
      <c r="AA384" s="564"/>
      <c r="AB384" s="564"/>
      <c r="AC384" s="564"/>
      <c r="AD384" s="564"/>
      <c r="AE384" s="564"/>
      <c r="AF384" s="564"/>
      <c r="AG384" s="564"/>
    </row>
    <row r="385">
      <c r="B385" s="670" t="s">
        <v>3392</v>
      </c>
      <c r="C385" s="341" t="s">
        <v>4136</v>
      </c>
      <c r="D385" s="671" t="s">
        <v>4257</v>
      </c>
      <c r="E385" s="672"/>
      <c r="F385" s="564"/>
      <c r="G385" s="564"/>
      <c r="H385" s="564"/>
      <c r="I385" s="564"/>
      <c r="J385" s="564"/>
      <c r="K385" s="564"/>
      <c r="L385" s="564"/>
      <c r="M385" s="564"/>
      <c r="N385" s="564"/>
      <c r="O385" s="564"/>
      <c r="P385" s="564"/>
      <c r="Q385" s="564"/>
      <c r="R385" s="438"/>
      <c r="S385" s="438"/>
      <c r="T385" s="438">
        <f t="shared" si="2"/>
        <v>1</v>
      </c>
      <c r="U385" s="564"/>
      <c r="V385" s="564"/>
      <c r="W385" s="564"/>
      <c r="X385" s="564"/>
      <c r="Y385" s="564"/>
      <c r="Z385" s="564"/>
      <c r="AA385" s="564"/>
      <c r="AB385" s="564"/>
      <c r="AC385" s="564"/>
      <c r="AD385" s="564"/>
      <c r="AE385" s="564"/>
      <c r="AF385" s="564"/>
      <c r="AG385" s="564"/>
    </row>
    <row r="386">
      <c r="B386" s="670" t="s">
        <v>3388</v>
      </c>
      <c r="C386" s="341" t="s">
        <v>4136</v>
      </c>
      <c r="D386" s="671" t="s">
        <v>4258</v>
      </c>
      <c r="E386" s="672"/>
      <c r="F386" s="564"/>
      <c r="G386" s="564"/>
      <c r="H386" s="564"/>
      <c r="I386" s="564"/>
      <c r="J386" s="564"/>
      <c r="K386" s="564"/>
      <c r="L386" s="564"/>
      <c r="M386" s="564"/>
      <c r="N386" s="564"/>
      <c r="O386" s="564"/>
      <c r="P386" s="564"/>
      <c r="Q386" s="564"/>
      <c r="R386" s="438"/>
      <c r="S386" s="438"/>
      <c r="T386" s="438">
        <f t="shared" si="2"/>
        <v>1</v>
      </c>
      <c r="U386" s="564"/>
      <c r="V386" s="564"/>
      <c r="W386" s="564"/>
      <c r="X386" s="564"/>
      <c r="Y386" s="564"/>
      <c r="Z386" s="564"/>
      <c r="AA386" s="564"/>
      <c r="AB386" s="564"/>
      <c r="AC386" s="564"/>
      <c r="AD386" s="564"/>
      <c r="AE386" s="564"/>
      <c r="AF386" s="564"/>
      <c r="AG386" s="564"/>
    </row>
    <row r="387">
      <c r="A387" s="679" t="s">
        <v>3276</v>
      </c>
      <c r="B387" s="680" t="s">
        <v>3382</v>
      </c>
      <c r="C387" s="588" t="s">
        <v>4136</v>
      </c>
      <c r="D387" s="681" t="s">
        <v>4259</v>
      </c>
      <c r="E387" s="682"/>
      <c r="F387" s="329"/>
      <c r="G387" s="329"/>
      <c r="H387" s="329"/>
      <c r="I387" s="329"/>
      <c r="J387" s="329"/>
      <c r="K387" s="329"/>
      <c r="L387" s="329"/>
      <c r="M387" s="329"/>
      <c r="N387" s="329"/>
      <c r="O387" s="329"/>
      <c r="P387" s="329"/>
      <c r="Q387" s="329"/>
      <c r="R387" s="588"/>
      <c r="S387" s="588"/>
      <c r="T387" s="588">
        <f t="shared" si="2"/>
        <v>1</v>
      </c>
      <c r="U387" s="329"/>
      <c r="V387" s="329"/>
      <c r="W387" s="329"/>
      <c r="X387" s="329"/>
      <c r="Y387" s="329"/>
      <c r="Z387" s="329"/>
      <c r="AA387" s="329"/>
      <c r="AB387" s="329"/>
      <c r="AC387" s="329"/>
      <c r="AD387" s="329"/>
      <c r="AE387" s="329"/>
      <c r="AF387" s="329"/>
      <c r="AG387" s="329"/>
    </row>
    <row r="388">
      <c r="B388" s="680" t="s">
        <v>3377</v>
      </c>
      <c r="C388" s="592" t="s">
        <v>4262</v>
      </c>
      <c r="D388" s="681" t="s">
        <v>4261</v>
      </c>
      <c r="E388" s="682"/>
      <c r="F388" s="588">
        <v>1756.0</v>
      </c>
      <c r="G388" s="588">
        <v>579.0</v>
      </c>
      <c r="H388" s="588">
        <v>1.0</v>
      </c>
      <c r="I388" s="588">
        <v>1.0</v>
      </c>
      <c r="J388" s="588">
        <v>1.0</v>
      </c>
      <c r="K388" s="588">
        <v>1.0</v>
      </c>
      <c r="L388" s="329"/>
      <c r="M388" s="588">
        <v>1.0</v>
      </c>
      <c r="N388" s="329"/>
      <c r="O388" s="588">
        <v>1.0</v>
      </c>
      <c r="P388" s="329"/>
      <c r="Q388" s="588">
        <v>1.0</v>
      </c>
      <c r="R388" s="588"/>
      <c r="S388" s="588"/>
      <c r="T388" s="588" t="str">
        <f t="shared" si="2"/>
        <v/>
      </c>
      <c r="U388" s="329"/>
      <c r="V388" s="329"/>
      <c r="W388" s="329"/>
      <c r="X388" s="329"/>
      <c r="Y388" s="329"/>
      <c r="Z388" s="329"/>
      <c r="AA388" s="329"/>
      <c r="AB388" s="329"/>
      <c r="AC388" s="329"/>
      <c r="AD388" s="329"/>
      <c r="AE388" s="329"/>
      <c r="AF388" s="329"/>
      <c r="AG388" s="329"/>
    </row>
    <row r="389">
      <c r="B389" s="680" t="s">
        <v>3372</v>
      </c>
      <c r="C389" s="588" t="s">
        <v>4136</v>
      </c>
      <c r="D389" s="681" t="s">
        <v>4263</v>
      </c>
      <c r="E389" s="682"/>
      <c r="F389" s="329"/>
      <c r="G389" s="329"/>
      <c r="H389" s="329"/>
      <c r="I389" s="329"/>
      <c r="J389" s="329"/>
      <c r="K389" s="329"/>
      <c r="L389" s="329"/>
      <c r="M389" s="329"/>
      <c r="N389" s="329"/>
      <c r="O389" s="329"/>
      <c r="P389" s="329"/>
      <c r="Q389" s="329"/>
      <c r="R389" s="588"/>
      <c r="S389" s="588"/>
      <c r="T389" s="588">
        <f t="shared" si="2"/>
        <v>1</v>
      </c>
      <c r="U389" s="329"/>
      <c r="V389" s="329"/>
      <c r="W389" s="329"/>
      <c r="X389" s="329"/>
      <c r="Y389" s="329"/>
      <c r="Z389" s="329"/>
      <c r="AA389" s="329"/>
      <c r="AB389" s="329"/>
      <c r="AC389" s="329"/>
      <c r="AD389" s="329"/>
      <c r="AE389" s="329"/>
      <c r="AF389" s="329"/>
      <c r="AG389" s="329"/>
    </row>
    <row r="390">
      <c r="B390" s="680" t="s">
        <v>3367</v>
      </c>
      <c r="C390" s="592" t="s">
        <v>4266</v>
      </c>
      <c r="D390" s="681" t="s">
        <v>4265</v>
      </c>
      <c r="E390" s="683" t="s">
        <v>3728</v>
      </c>
      <c r="F390" s="588">
        <v>471.0</v>
      </c>
      <c r="G390" s="588">
        <v>97.0</v>
      </c>
      <c r="H390" s="329"/>
      <c r="I390" s="329"/>
      <c r="J390" s="329"/>
      <c r="K390" s="329"/>
      <c r="L390" s="329"/>
      <c r="M390" s="329"/>
      <c r="N390" s="329"/>
      <c r="O390" s="329"/>
      <c r="P390" s="329"/>
      <c r="Q390" s="329"/>
      <c r="R390" s="588"/>
      <c r="S390" s="588"/>
      <c r="T390" s="588" t="str">
        <f t="shared" si="2"/>
        <v/>
      </c>
      <c r="U390" s="329"/>
      <c r="V390" s="329"/>
      <c r="W390" s="329"/>
      <c r="X390" s="329"/>
      <c r="Y390" s="329"/>
      <c r="Z390" s="329"/>
      <c r="AA390" s="329"/>
      <c r="AB390" s="329"/>
      <c r="AC390" s="329"/>
      <c r="AD390" s="329"/>
      <c r="AE390" s="329"/>
      <c r="AF390" s="329"/>
      <c r="AG390" s="329"/>
    </row>
    <row r="391">
      <c r="B391" s="680" t="s">
        <v>3355</v>
      </c>
      <c r="C391" s="588" t="s">
        <v>4136</v>
      </c>
      <c r="D391" s="681" t="s">
        <v>4267</v>
      </c>
      <c r="E391" s="682"/>
      <c r="F391" s="329"/>
      <c r="G391" s="329"/>
      <c r="H391" s="329"/>
      <c r="I391" s="329"/>
      <c r="J391" s="329"/>
      <c r="K391" s="329"/>
      <c r="L391" s="329"/>
      <c r="M391" s="329"/>
      <c r="N391" s="329"/>
      <c r="O391" s="329"/>
      <c r="P391" s="329"/>
      <c r="Q391" s="329"/>
      <c r="R391" s="588"/>
      <c r="S391" s="588"/>
      <c r="T391" s="588">
        <f t="shared" si="2"/>
        <v>1</v>
      </c>
      <c r="U391" s="329"/>
      <c r="V391" s="329"/>
      <c r="W391" s="329"/>
      <c r="X391" s="329"/>
      <c r="Y391" s="329"/>
      <c r="Z391" s="329"/>
      <c r="AA391" s="329"/>
      <c r="AB391" s="329"/>
      <c r="AC391" s="329"/>
      <c r="AD391" s="329"/>
      <c r="AE391" s="329"/>
      <c r="AF391" s="329"/>
      <c r="AG391" s="329"/>
    </row>
    <row r="392">
      <c r="B392" s="680" t="s">
        <v>3350</v>
      </c>
      <c r="C392" s="592" t="s">
        <v>4270</v>
      </c>
      <c r="D392" s="681" t="s">
        <v>4268</v>
      </c>
      <c r="E392" s="682"/>
      <c r="F392" s="588">
        <v>1133.0</v>
      </c>
      <c r="G392" s="588">
        <v>52.0</v>
      </c>
      <c r="H392" s="588">
        <v>1.0</v>
      </c>
      <c r="I392" s="329"/>
      <c r="J392" s="588">
        <v>1.0</v>
      </c>
      <c r="K392" s="329"/>
      <c r="L392" s="329"/>
      <c r="M392" s="588">
        <v>1.0</v>
      </c>
      <c r="N392" s="588">
        <v>1.0</v>
      </c>
      <c r="O392" s="329"/>
      <c r="P392" s="329"/>
      <c r="Q392" s="329"/>
      <c r="R392" s="588"/>
      <c r="S392" s="588"/>
      <c r="T392" s="588" t="str">
        <f t="shared" si="2"/>
        <v/>
      </c>
      <c r="U392" s="329"/>
      <c r="V392" s="329"/>
      <c r="W392" s="329"/>
      <c r="X392" s="329"/>
      <c r="Y392" s="329"/>
      <c r="Z392" s="329"/>
      <c r="AA392" s="329"/>
      <c r="AB392" s="329"/>
      <c r="AC392" s="329"/>
      <c r="AD392" s="329"/>
      <c r="AE392" s="329"/>
      <c r="AF392" s="329"/>
      <c r="AG392" s="329"/>
    </row>
    <row r="393">
      <c r="B393" s="680" t="s">
        <v>3345</v>
      </c>
      <c r="C393" s="588" t="s">
        <v>4136</v>
      </c>
      <c r="D393" s="681" t="s">
        <v>4271</v>
      </c>
      <c r="E393" s="682"/>
      <c r="F393" s="329"/>
      <c r="G393" s="329"/>
      <c r="H393" s="329"/>
      <c r="I393" s="329"/>
      <c r="J393" s="329"/>
      <c r="K393" s="329"/>
      <c r="L393" s="329"/>
      <c r="M393" s="329"/>
      <c r="N393" s="329"/>
      <c r="O393" s="329"/>
      <c r="P393" s="329"/>
      <c r="Q393" s="329"/>
      <c r="R393" s="588"/>
      <c r="S393" s="588"/>
      <c r="T393" s="588">
        <f t="shared" si="2"/>
        <v>1</v>
      </c>
      <c r="U393" s="329"/>
      <c r="V393" s="329"/>
      <c r="W393" s="329"/>
      <c r="X393" s="329"/>
      <c r="Y393" s="329"/>
      <c r="Z393" s="329"/>
      <c r="AA393" s="329"/>
      <c r="AB393" s="329"/>
      <c r="AC393" s="329"/>
      <c r="AD393" s="329"/>
      <c r="AE393" s="329"/>
      <c r="AF393" s="329"/>
      <c r="AG393" s="329"/>
    </row>
    <row r="394">
      <c r="B394" s="680" t="s">
        <v>3340</v>
      </c>
      <c r="C394" s="588" t="s">
        <v>4136</v>
      </c>
      <c r="D394" s="681" t="s">
        <v>4272</v>
      </c>
      <c r="E394" s="682"/>
      <c r="F394" s="329"/>
      <c r="G394" s="329"/>
      <c r="H394" s="329"/>
      <c r="I394" s="329"/>
      <c r="J394" s="329"/>
      <c r="K394" s="329"/>
      <c r="L394" s="329"/>
      <c r="M394" s="329"/>
      <c r="N394" s="329"/>
      <c r="O394" s="329"/>
      <c r="P394" s="329"/>
      <c r="Q394" s="329"/>
      <c r="R394" s="588"/>
      <c r="S394" s="588"/>
      <c r="T394" s="588">
        <f t="shared" si="2"/>
        <v>1</v>
      </c>
      <c r="U394" s="329"/>
      <c r="V394" s="329"/>
      <c r="W394" s="329"/>
      <c r="X394" s="329"/>
      <c r="Y394" s="329"/>
      <c r="Z394" s="329"/>
      <c r="AA394" s="329"/>
      <c r="AB394" s="329"/>
      <c r="AC394" s="329"/>
      <c r="AD394" s="329"/>
      <c r="AE394" s="329"/>
      <c r="AF394" s="329"/>
      <c r="AG394" s="329"/>
    </row>
    <row r="395">
      <c r="B395" s="680" t="s">
        <v>3335</v>
      </c>
      <c r="C395" s="592" t="s">
        <v>4274</v>
      </c>
      <c r="D395" s="681" t="s">
        <v>4273</v>
      </c>
      <c r="E395" s="682"/>
      <c r="F395" s="588">
        <v>1003.0</v>
      </c>
      <c r="G395" s="588">
        <v>480.0</v>
      </c>
      <c r="H395" s="588">
        <v>1.0</v>
      </c>
      <c r="I395" s="588">
        <v>1.0</v>
      </c>
      <c r="J395" s="588">
        <v>1.0</v>
      </c>
      <c r="K395" s="588">
        <v>1.0</v>
      </c>
      <c r="L395" s="329"/>
      <c r="M395" s="588">
        <v>1.0</v>
      </c>
      <c r="N395" s="588">
        <v>1.0</v>
      </c>
      <c r="O395" s="329"/>
      <c r="P395" s="329"/>
      <c r="Q395" s="588">
        <v>1.0</v>
      </c>
      <c r="R395" s="588"/>
      <c r="S395" s="588">
        <v>1.0</v>
      </c>
      <c r="T395" s="588" t="str">
        <f t="shared" si="2"/>
        <v/>
      </c>
      <c r="U395" s="329"/>
      <c r="V395" s="329"/>
      <c r="W395" s="329"/>
      <c r="X395" s="329"/>
      <c r="Y395" s="329"/>
      <c r="Z395" s="329"/>
      <c r="AA395" s="329"/>
      <c r="AB395" s="329"/>
      <c r="AC395" s="329"/>
      <c r="AD395" s="329"/>
      <c r="AE395" s="329"/>
      <c r="AF395" s="329"/>
      <c r="AG395" s="329"/>
    </row>
    <row r="396">
      <c r="B396" s="680" t="s">
        <v>3330</v>
      </c>
      <c r="C396" s="592" t="s">
        <v>4276</v>
      </c>
      <c r="D396" s="681" t="s">
        <v>4275</v>
      </c>
      <c r="E396" s="682"/>
      <c r="F396" s="588">
        <v>1451.0</v>
      </c>
      <c r="G396" s="588">
        <v>917.0</v>
      </c>
      <c r="H396" s="588">
        <v>1.0</v>
      </c>
      <c r="I396" s="588">
        <v>1.0</v>
      </c>
      <c r="J396" s="588">
        <v>1.0</v>
      </c>
      <c r="K396" s="588">
        <v>1.0</v>
      </c>
      <c r="L396" s="329"/>
      <c r="M396" s="588">
        <v>1.0</v>
      </c>
      <c r="N396" s="588">
        <v>1.0</v>
      </c>
      <c r="O396" s="329"/>
      <c r="P396" s="329"/>
      <c r="Q396" s="588">
        <v>1.0</v>
      </c>
      <c r="R396" s="588"/>
      <c r="S396" s="588"/>
      <c r="T396" s="588" t="str">
        <f t="shared" si="2"/>
        <v/>
      </c>
      <c r="U396" s="329"/>
      <c r="V396" s="329"/>
      <c r="W396" s="329"/>
      <c r="X396" s="329"/>
      <c r="Y396" s="329"/>
      <c r="Z396" s="329"/>
      <c r="AA396" s="329"/>
      <c r="AB396" s="329"/>
      <c r="AC396" s="329"/>
      <c r="AD396" s="329"/>
      <c r="AE396" s="329"/>
      <c r="AF396" s="329"/>
      <c r="AG396" s="329"/>
    </row>
    <row r="397">
      <c r="B397" s="680" t="s">
        <v>3325</v>
      </c>
      <c r="C397" s="592" t="s">
        <v>4278</v>
      </c>
      <c r="D397" s="681" t="s">
        <v>4277</v>
      </c>
      <c r="E397" s="683" t="s">
        <v>3728</v>
      </c>
      <c r="F397" s="588">
        <v>1231.0</v>
      </c>
      <c r="G397" s="588">
        <v>1619.0</v>
      </c>
      <c r="H397" s="329"/>
      <c r="I397" s="329"/>
      <c r="J397" s="329"/>
      <c r="K397" s="329"/>
      <c r="L397" s="329"/>
      <c r="M397" s="329"/>
      <c r="N397" s="329"/>
      <c r="O397" s="329"/>
      <c r="P397" s="329"/>
      <c r="Q397" s="329"/>
      <c r="R397" s="588"/>
      <c r="S397" s="588"/>
      <c r="T397" s="588" t="str">
        <f t="shared" si="2"/>
        <v/>
      </c>
      <c r="U397" s="329"/>
      <c r="V397" s="329"/>
      <c r="W397" s="329"/>
      <c r="X397" s="329"/>
      <c r="Y397" s="329"/>
      <c r="Z397" s="329"/>
      <c r="AA397" s="329"/>
      <c r="AB397" s="329"/>
      <c r="AC397" s="329"/>
      <c r="AD397" s="329"/>
      <c r="AE397" s="329"/>
      <c r="AF397" s="329"/>
      <c r="AG397" s="329"/>
    </row>
    <row r="398">
      <c r="B398" s="680" t="s">
        <v>3320</v>
      </c>
      <c r="C398" s="588" t="s">
        <v>4136</v>
      </c>
      <c r="D398" s="681" t="s">
        <v>3968</v>
      </c>
      <c r="E398" s="682"/>
      <c r="F398" s="329"/>
      <c r="G398" s="329"/>
      <c r="H398" s="329"/>
      <c r="I398" s="329"/>
      <c r="J398" s="329"/>
      <c r="K398" s="329"/>
      <c r="L398" s="329"/>
      <c r="M398" s="329"/>
      <c r="N398" s="588">
        <v>1.0</v>
      </c>
      <c r="O398" s="329"/>
      <c r="P398" s="329"/>
      <c r="Q398" s="329"/>
      <c r="R398" s="588"/>
      <c r="S398" s="588"/>
      <c r="T398" s="588">
        <f t="shared" si="2"/>
        <v>1</v>
      </c>
      <c r="U398" s="329"/>
      <c r="V398" s="329"/>
      <c r="W398" s="329"/>
      <c r="X398" s="329"/>
      <c r="Y398" s="329"/>
      <c r="Z398" s="329"/>
      <c r="AA398" s="329"/>
      <c r="AB398" s="329"/>
      <c r="AC398" s="329"/>
      <c r="AD398" s="329"/>
      <c r="AE398" s="329"/>
      <c r="AF398" s="329"/>
      <c r="AG398" s="329"/>
    </row>
    <row r="399">
      <c r="B399" s="680" t="s">
        <v>3315</v>
      </c>
      <c r="C399" s="588" t="s">
        <v>4136</v>
      </c>
      <c r="D399" s="681" t="s">
        <v>4279</v>
      </c>
      <c r="E399" s="682"/>
      <c r="F399" s="329"/>
      <c r="G399" s="329"/>
      <c r="H399" s="329"/>
      <c r="I399" s="329"/>
      <c r="J399" s="329"/>
      <c r="K399" s="329"/>
      <c r="L399" s="329"/>
      <c r="M399" s="329"/>
      <c r="N399" s="329"/>
      <c r="O399" s="329"/>
      <c r="P399" s="329"/>
      <c r="Q399" s="329"/>
      <c r="R399" s="588"/>
      <c r="S399" s="588"/>
      <c r="T399" s="588">
        <f t="shared" si="2"/>
        <v>1</v>
      </c>
      <c r="U399" s="329"/>
      <c r="V399" s="329"/>
      <c r="W399" s="329"/>
      <c r="X399" s="329"/>
      <c r="Y399" s="329"/>
      <c r="Z399" s="329"/>
      <c r="AA399" s="329"/>
      <c r="AB399" s="329"/>
      <c r="AC399" s="329"/>
      <c r="AD399" s="329"/>
      <c r="AE399" s="329"/>
      <c r="AF399" s="329"/>
      <c r="AG399" s="329"/>
    </row>
    <row r="400">
      <c r="B400" s="680" t="s">
        <v>3256</v>
      </c>
      <c r="C400" s="588" t="s">
        <v>4136</v>
      </c>
      <c r="D400" s="681" t="s">
        <v>3122</v>
      </c>
      <c r="E400" s="682"/>
      <c r="F400" s="329"/>
      <c r="G400" s="329"/>
      <c r="H400" s="329"/>
      <c r="I400" s="329"/>
      <c r="J400" s="329"/>
      <c r="K400" s="329"/>
      <c r="L400" s="329"/>
      <c r="M400" s="329"/>
      <c r="N400" s="329"/>
      <c r="O400" s="329"/>
      <c r="P400" s="329"/>
      <c r="Q400" s="329"/>
      <c r="R400" s="588"/>
      <c r="S400" s="588"/>
      <c r="T400" s="588">
        <f t="shared" si="2"/>
        <v>1</v>
      </c>
      <c r="U400" s="329"/>
      <c r="V400" s="329"/>
      <c r="W400" s="329"/>
      <c r="X400" s="329"/>
      <c r="Y400" s="329"/>
      <c r="Z400" s="329"/>
      <c r="AA400" s="329"/>
      <c r="AB400" s="329"/>
      <c r="AC400" s="329"/>
      <c r="AD400" s="329"/>
      <c r="AE400" s="329"/>
      <c r="AF400" s="329"/>
      <c r="AG400" s="329"/>
    </row>
    <row r="401">
      <c r="B401" s="680" t="s">
        <v>3255</v>
      </c>
      <c r="C401" s="588" t="s">
        <v>4136</v>
      </c>
      <c r="D401" s="681" t="s">
        <v>4280</v>
      </c>
      <c r="E401" s="682"/>
      <c r="F401" s="329"/>
      <c r="G401" s="329"/>
      <c r="H401" s="329"/>
      <c r="I401" s="329"/>
      <c r="J401" s="329"/>
      <c r="K401" s="329"/>
      <c r="L401" s="329"/>
      <c r="M401" s="329"/>
      <c r="N401" s="329"/>
      <c r="O401" s="329"/>
      <c r="P401" s="329"/>
      <c r="Q401" s="329"/>
      <c r="R401" s="588"/>
      <c r="S401" s="588"/>
      <c r="T401" s="588">
        <f t="shared" si="2"/>
        <v>1</v>
      </c>
      <c r="U401" s="329"/>
      <c r="V401" s="329"/>
      <c r="W401" s="329"/>
      <c r="X401" s="329"/>
      <c r="Y401" s="329"/>
      <c r="Z401" s="329"/>
      <c r="AA401" s="329"/>
      <c r="AB401" s="329"/>
      <c r="AC401" s="329"/>
      <c r="AD401" s="329"/>
      <c r="AE401" s="329"/>
      <c r="AF401" s="329"/>
      <c r="AG401" s="329"/>
    </row>
    <row r="402">
      <c r="B402" s="680" t="s">
        <v>3254</v>
      </c>
      <c r="C402" s="588" t="s">
        <v>4136</v>
      </c>
      <c r="D402" s="681" t="s">
        <v>4281</v>
      </c>
      <c r="E402" s="682"/>
      <c r="F402" s="329"/>
      <c r="G402" s="329"/>
      <c r="H402" s="329"/>
      <c r="I402" s="329"/>
      <c r="J402" s="329"/>
      <c r="K402" s="329"/>
      <c r="L402" s="329"/>
      <c r="M402" s="329"/>
      <c r="N402" s="329"/>
      <c r="O402" s="329"/>
      <c r="P402" s="329"/>
      <c r="Q402" s="329"/>
      <c r="R402" s="588"/>
      <c r="S402" s="588"/>
      <c r="T402" s="588">
        <f t="shared" si="2"/>
        <v>1</v>
      </c>
      <c r="U402" s="329"/>
      <c r="V402" s="329"/>
      <c r="W402" s="329"/>
      <c r="X402" s="329"/>
      <c r="Y402" s="329"/>
      <c r="Z402" s="329"/>
      <c r="AA402" s="329"/>
      <c r="AB402" s="329"/>
      <c r="AC402" s="329"/>
      <c r="AD402" s="329"/>
      <c r="AE402" s="329"/>
      <c r="AF402" s="329"/>
      <c r="AG402" s="329"/>
    </row>
    <row r="403">
      <c r="B403" s="680" t="s">
        <v>3253</v>
      </c>
      <c r="C403" s="588" t="s">
        <v>4136</v>
      </c>
      <c r="D403" s="681" t="s">
        <v>4208</v>
      </c>
      <c r="E403" s="682"/>
      <c r="F403" s="329"/>
      <c r="G403" s="329"/>
      <c r="H403" s="329"/>
      <c r="I403" s="329"/>
      <c r="J403" s="329"/>
      <c r="K403" s="329"/>
      <c r="L403" s="329"/>
      <c r="M403" s="329"/>
      <c r="N403" s="588">
        <v>1.0</v>
      </c>
      <c r="O403" s="329"/>
      <c r="P403" s="329"/>
      <c r="Q403" s="329"/>
      <c r="R403" s="588"/>
      <c r="S403" s="588"/>
      <c r="T403" s="588">
        <f t="shared" si="2"/>
        <v>1</v>
      </c>
      <c r="U403" s="329"/>
      <c r="V403" s="329"/>
      <c r="W403" s="329"/>
      <c r="X403" s="329"/>
      <c r="Y403" s="329"/>
      <c r="Z403" s="329"/>
      <c r="AA403" s="329"/>
      <c r="AB403" s="329"/>
      <c r="AC403" s="329"/>
      <c r="AD403" s="329"/>
      <c r="AE403" s="329"/>
      <c r="AF403" s="329"/>
      <c r="AG403" s="329"/>
    </row>
    <row r="404">
      <c r="B404" s="680" t="s">
        <v>3252</v>
      </c>
      <c r="C404" s="592" t="s">
        <v>4283</v>
      </c>
      <c r="D404" s="681" t="s">
        <v>4282</v>
      </c>
      <c r="E404" s="683" t="s">
        <v>3728</v>
      </c>
      <c r="F404" s="588">
        <v>1192.0</v>
      </c>
      <c r="G404" s="588">
        <v>299.0</v>
      </c>
      <c r="H404" s="329"/>
      <c r="I404" s="329"/>
      <c r="J404" s="329"/>
      <c r="K404" s="329"/>
      <c r="L404" s="329"/>
      <c r="M404" s="329"/>
      <c r="N404" s="329"/>
      <c r="O404" s="329"/>
      <c r="P404" s="329"/>
      <c r="Q404" s="329"/>
      <c r="R404" s="588"/>
      <c r="S404" s="588"/>
      <c r="T404" s="588" t="str">
        <f t="shared" si="2"/>
        <v/>
      </c>
      <c r="U404" s="329"/>
      <c r="V404" s="329"/>
      <c r="W404" s="329"/>
      <c r="X404" s="329"/>
      <c r="Y404" s="329"/>
      <c r="Z404" s="329"/>
      <c r="AA404" s="329"/>
      <c r="AB404" s="329"/>
      <c r="AC404" s="329"/>
      <c r="AD404" s="329"/>
      <c r="AE404" s="329"/>
      <c r="AF404" s="329"/>
      <c r="AG404" s="329"/>
    </row>
    <row r="405">
      <c r="B405" s="680" t="s">
        <v>3251</v>
      </c>
      <c r="C405" s="588" t="s">
        <v>4136</v>
      </c>
      <c r="D405" s="681" t="s">
        <v>4284</v>
      </c>
      <c r="E405" s="682"/>
      <c r="F405" s="329"/>
      <c r="G405" s="329"/>
      <c r="H405" s="329"/>
      <c r="I405" s="329"/>
      <c r="J405" s="329"/>
      <c r="K405" s="329"/>
      <c r="L405" s="329"/>
      <c r="M405" s="329"/>
      <c r="N405" s="329"/>
      <c r="O405" s="329"/>
      <c r="P405" s="329"/>
      <c r="Q405" s="329"/>
      <c r="R405" s="588"/>
      <c r="S405" s="588"/>
      <c r="T405" s="588">
        <f t="shared" si="2"/>
        <v>1</v>
      </c>
      <c r="U405" s="329"/>
      <c r="V405" s="329"/>
      <c r="W405" s="329"/>
      <c r="X405" s="329"/>
      <c r="Y405" s="329"/>
      <c r="Z405" s="329"/>
      <c r="AA405" s="329"/>
      <c r="AB405" s="329"/>
      <c r="AC405" s="329"/>
      <c r="AD405" s="329"/>
      <c r="AE405" s="329"/>
      <c r="AF405" s="329"/>
      <c r="AG405" s="329"/>
    </row>
    <row r="406">
      <c r="B406" s="680" t="s">
        <v>3250</v>
      </c>
      <c r="C406" s="592" t="s">
        <v>4286</v>
      </c>
      <c r="D406" s="681" t="s">
        <v>4285</v>
      </c>
      <c r="E406" s="682"/>
      <c r="F406" s="588">
        <v>6139.0</v>
      </c>
      <c r="G406" s="588">
        <v>3882.0</v>
      </c>
      <c r="H406" s="588">
        <v>1.0</v>
      </c>
      <c r="I406" s="588">
        <v>1.0</v>
      </c>
      <c r="J406" s="588">
        <v>1.0</v>
      </c>
      <c r="K406" s="588">
        <v>1.0</v>
      </c>
      <c r="L406" s="329"/>
      <c r="M406" s="588">
        <v>1.0</v>
      </c>
      <c r="N406" s="588">
        <v>1.0</v>
      </c>
      <c r="O406" s="329"/>
      <c r="P406" s="329"/>
      <c r="Q406" s="329"/>
      <c r="R406" s="588"/>
      <c r="S406" s="588">
        <v>1.0</v>
      </c>
      <c r="T406" s="588" t="str">
        <f t="shared" si="2"/>
        <v/>
      </c>
      <c r="U406" s="329"/>
      <c r="V406" s="329"/>
      <c r="W406" s="329"/>
      <c r="X406" s="329"/>
      <c r="Y406" s="329"/>
      <c r="Z406" s="329"/>
      <c r="AA406" s="329"/>
      <c r="AB406" s="329"/>
      <c r="AC406" s="329"/>
      <c r="AD406" s="329"/>
      <c r="AE406" s="329"/>
      <c r="AF406" s="329"/>
      <c r="AG406" s="329"/>
    </row>
    <row r="407">
      <c r="B407" s="680" t="s">
        <v>3249</v>
      </c>
      <c r="C407" s="592" t="s">
        <v>4288</v>
      </c>
      <c r="D407" s="681" t="s">
        <v>4287</v>
      </c>
      <c r="E407" s="682"/>
      <c r="F407" s="588">
        <v>208.0</v>
      </c>
      <c r="G407" s="588">
        <v>28.0</v>
      </c>
      <c r="H407" s="588">
        <v>1.0</v>
      </c>
      <c r="I407" s="588"/>
      <c r="J407" s="588">
        <v>1.0</v>
      </c>
      <c r="K407" s="588">
        <v>1.0</v>
      </c>
      <c r="L407" s="329"/>
      <c r="M407" s="588">
        <v>1.0</v>
      </c>
      <c r="N407" s="329"/>
      <c r="O407" s="329"/>
      <c r="P407" s="329"/>
      <c r="Q407" s="588">
        <v>1.0</v>
      </c>
      <c r="R407" s="588"/>
      <c r="S407" s="588"/>
      <c r="T407" s="588" t="str">
        <f t="shared" si="2"/>
        <v/>
      </c>
      <c r="U407" s="329"/>
      <c r="V407" s="329"/>
      <c r="W407" s="329"/>
      <c r="X407" s="329"/>
      <c r="Y407" s="329"/>
      <c r="Z407" s="329"/>
      <c r="AA407" s="329"/>
      <c r="AB407" s="329"/>
      <c r="AC407" s="329"/>
      <c r="AD407" s="329"/>
      <c r="AE407" s="329"/>
      <c r="AF407" s="329"/>
      <c r="AG407" s="329"/>
    </row>
    <row r="408">
      <c r="B408" s="680" t="s">
        <v>3248</v>
      </c>
      <c r="C408" s="588" t="s">
        <v>4136</v>
      </c>
      <c r="D408" s="681" t="s">
        <v>4289</v>
      </c>
      <c r="E408" s="682"/>
      <c r="F408" s="329"/>
      <c r="G408" s="329"/>
      <c r="H408" s="329"/>
      <c r="I408" s="329"/>
      <c r="J408" s="329"/>
      <c r="K408" s="329"/>
      <c r="L408" s="329"/>
      <c r="M408" s="329"/>
      <c r="N408" s="329"/>
      <c r="O408" s="329"/>
      <c r="P408" s="329"/>
      <c r="Q408" s="329"/>
      <c r="R408" s="588"/>
      <c r="S408" s="588"/>
      <c r="T408" s="588">
        <f t="shared" si="2"/>
        <v>1</v>
      </c>
      <c r="U408" s="329"/>
      <c r="V408" s="329"/>
      <c r="W408" s="329"/>
      <c r="X408" s="329"/>
      <c r="Y408" s="329"/>
      <c r="Z408" s="329"/>
      <c r="AA408" s="329"/>
      <c r="AB408" s="329"/>
      <c r="AC408" s="329"/>
      <c r="AD408" s="329"/>
      <c r="AE408" s="329"/>
      <c r="AF408" s="329"/>
      <c r="AG408" s="329"/>
    </row>
    <row r="409">
      <c r="B409" s="680" t="s">
        <v>3247</v>
      </c>
      <c r="C409" s="592" t="s">
        <v>4291</v>
      </c>
      <c r="D409" s="681" t="s">
        <v>4290</v>
      </c>
      <c r="E409" s="683" t="s">
        <v>3728</v>
      </c>
      <c r="F409" s="588">
        <v>118.0</v>
      </c>
      <c r="G409" s="588">
        <v>58.0</v>
      </c>
      <c r="H409" s="329"/>
      <c r="I409" s="329"/>
      <c r="J409" s="329"/>
      <c r="K409" s="329"/>
      <c r="L409" s="329"/>
      <c r="M409" s="329"/>
      <c r="N409" s="329"/>
      <c r="O409" s="329"/>
      <c r="P409" s="329"/>
      <c r="Q409" s="329"/>
      <c r="R409" s="588"/>
      <c r="S409" s="588"/>
      <c r="T409" s="588" t="str">
        <f t="shared" si="2"/>
        <v/>
      </c>
      <c r="U409" s="329"/>
      <c r="V409" s="329"/>
      <c r="W409" s="329"/>
      <c r="X409" s="329"/>
      <c r="Y409" s="329"/>
      <c r="Z409" s="329"/>
      <c r="AA409" s="329"/>
      <c r="AB409" s="329"/>
      <c r="AC409" s="329"/>
      <c r="AD409" s="329"/>
      <c r="AE409" s="329"/>
      <c r="AF409" s="329"/>
      <c r="AG409" s="329"/>
    </row>
    <row r="410">
      <c r="B410" s="680" t="s">
        <v>3246</v>
      </c>
      <c r="C410" s="588" t="s">
        <v>4136</v>
      </c>
      <c r="D410" s="681" t="s">
        <v>4292</v>
      </c>
      <c r="E410" s="682"/>
      <c r="F410" s="329"/>
      <c r="G410" s="329"/>
      <c r="H410" s="329"/>
      <c r="I410" s="329"/>
      <c r="J410" s="329"/>
      <c r="K410" s="329"/>
      <c r="L410" s="329"/>
      <c r="M410" s="329"/>
      <c r="N410" s="329"/>
      <c r="O410" s="329"/>
      <c r="P410" s="329"/>
      <c r="Q410" s="329"/>
      <c r="R410" s="588"/>
      <c r="S410" s="588"/>
      <c r="T410" s="588">
        <f t="shared" si="2"/>
        <v>1</v>
      </c>
      <c r="U410" s="329"/>
      <c r="V410" s="329"/>
      <c r="W410" s="329"/>
      <c r="X410" s="329"/>
      <c r="Y410" s="329"/>
      <c r="Z410" s="329"/>
      <c r="AA410" s="329"/>
      <c r="AB410" s="329"/>
      <c r="AC410" s="329"/>
      <c r="AD410" s="329"/>
      <c r="AE410" s="329"/>
      <c r="AF410" s="329"/>
      <c r="AG410" s="329"/>
    </row>
    <row r="411">
      <c r="B411" s="680" t="s">
        <v>3245</v>
      </c>
      <c r="C411" s="588" t="s">
        <v>4136</v>
      </c>
      <c r="D411" s="681" t="s">
        <v>4293</v>
      </c>
      <c r="E411" s="682"/>
      <c r="F411" s="329"/>
      <c r="G411" s="329"/>
      <c r="H411" s="329"/>
      <c r="I411" s="329"/>
      <c r="J411" s="329"/>
      <c r="K411" s="329"/>
      <c r="L411" s="329"/>
      <c r="M411" s="329"/>
      <c r="N411" s="329"/>
      <c r="O411" s="329"/>
      <c r="P411" s="329"/>
      <c r="Q411" s="329"/>
      <c r="R411" s="588"/>
      <c r="S411" s="588"/>
      <c r="T411" s="588">
        <f t="shared" si="2"/>
        <v>1</v>
      </c>
      <c r="U411" s="329"/>
      <c r="V411" s="329"/>
      <c r="W411" s="329"/>
      <c r="X411" s="329"/>
      <c r="Y411" s="329"/>
      <c r="Z411" s="329"/>
      <c r="AA411" s="329"/>
      <c r="AB411" s="329"/>
      <c r="AC411" s="329"/>
      <c r="AD411" s="329"/>
      <c r="AE411" s="329"/>
      <c r="AF411" s="329"/>
      <c r="AG411" s="329"/>
    </row>
    <row r="412">
      <c r="B412" s="680" t="s">
        <v>3240</v>
      </c>
      <c r="C412" s="588" t="s">
        <v>4136</v>
      </c>
      <c r="D412" s="681" t="s">
        <v>4209</v>
      </c>
      <c r="E412" s="682"/>
      <c r="F412" s="588">
        <v>468.0</v>
      </c>
      <c r="G412" s="588">
        <v>38.0</v>
      </c>
      <c r="H412" s="694"/>
      <c r="I412" s="694"/>
      <c r="J412" s="694"/>
      <c r="K412" s="694"/>
      <c r="L412" s="329"/>
      <c r="M412" s="329"/>
      <c r="N412" s="695"/>
      <c r="O412" s="329"/>
      <c r="P412" s="329"/>
      <c r="Q412" s="588"/>
      <c r="R412" s="588"/>
      <c r="S412" s="588"/>
      <c r="T412" s="588">
        <v>1.0</v>
      </c>
      <c r="U412" s="694"/>
      <c r="V412" s="329"/>
      <c r="W412" s="329"/>
      <c r="X412" s="329"/>
      <c r="Y412" s="329"/>
      <c r="Z412" s="329"/>
      <c r="AA412" s="329"/>
      <c r="AB412" s="329"/>
      <c r="AC412" s="329"/>
      <c r="AD412" s="329"/>
      <c r="AE412" s="329"/>
      <c r="AF412" s="329"/>
      <c r="AG412" s="329"/>
    </row>
    <row r="413">
      <c r="B413" s="680" t="s">
        <v>3239</v>
      </c>
      <c r="C413" s="592" t="s">
        <v>3279</v>
      </c>
      <c r="D413" s="681" t="s">
        <v>3277</v>
      </c>
      <c r="E413" s="683" t="s">
        <v>3728</v>
      </c>
      <c r="F413" s="588">
        <v>367.0</v>
      </c>
      <c r="G413" s="588">
        <v>6.0</v>
      </c>
      <c r="H413" s="329"/>
      <c r="I413" s="329"/>
      <c r="J413" s="329"/>
      <c r="K413" s="329"/>
      <c r="L413" s="329"/>
      <c r="M413" s="329"/>
      <c r="N413" s="329"/>
      <c r="O413" s="329"/>
      <c r="P413" s="329"/>
      <c r="Q413" s="329"/>
      <c r="R413" s="588"/>
      <c r="S413" s="588"/>
      <c r="T413" s="588" t="str">
        <f t="shared" ref="T413:T416" si="3">if(C413 = "No fork...", 1,)</f>
        <v/>
      </c>
      <c r="U413" s="329"/>
      <c r="V413" s="329"/>
      <c r="W413" s="329"/>
      <c r="X413" s="329"/>
      <c r="Y413" s="329"/>
      <c r="Z413" s="329"/>
      <c r="AA413" s="329"/>
      <c r="AB413" s="329"/>
      <c r="AC413" s="329"/>
      <c r="AD413" s="329"/>
      <c r="AE413" s="329"/>
      <c r="AF413" s="329"/>
      <c r="AG413" s="329"/>
    </row>
    <row r="414">
      <c r="B414" s="696" t="s">
        <v>3234</v>
      </c>
      <c r="C414" s="588" t="s">
        <v>4136</v>
      </c>
      <c r="D414" s="696" t="s">
        <v>4212</v>
      </c>
      <c r="E414" s="682"/>
      <c r="F414" s="329"/>
      <c r="G414" s="329"/>
      <c r="H414" s="329"/>
      <c r="I414" s="329"/>
      <c r="J414" s="329"/>
      <c r="K414" s="329"/>
      <c r="L414" s="329"/>
      <c r="M414" s="329"/>
      <c r="N414" s="329"/>
      <c r="O414" s="329"/>
      <c r="P414" s="329"/>
      <c r="Q414" s="329"/>
      <c r="R414" s="588"/>
      <c r="S414" s="588"/>
      <c r="T414" s="588">
        <f t="shared" si="3"/>
        <v>1</v>
      </c>
      <c r="U414" s="329"/>
      <c r="V414" s="329"/>
      <c r="W414" s="329"/>
      <c r="X414" s="329"/>
      <c r="Y414" s="329"/>
      <c r="Z414" s="329"/>
      <c r="AA414" s="329"/>
      <c r="AB414" s="329"/>
      <c r="AC414" s="329"/>
      <c r="AD414" s="329"/>
      <c r="AE414" s="329"/>
      <c r="AF414" s="329"/>
      <c r="AG414" s="329"/>
    </row>
    <row r="415">
      <c r="B415" s="696" t="s">
        <v>3233</v>
      </c>
      <c r="C415" s="592" t="s">
        <v>4295</v>
      </c>
      <c r="D415" s="696" t="s">
        <v>4294</v>
      </c>
      <c r="E415" s="682"/>
      <c r="F415" s="588">
        <v>1107.0</v>
      </c>
      <c r="G415" s="588">
        <v>103.0</v>
      </c>
      <c r="H415" s="588">
        <v>1.0</v>
      </c>
      <c r="I415" s="588">
        <v>1.0</v>
      </c>
      <c r="J415" s="588">
        <v>1.0</v>
      </c>
      <c r="K415" s="588">
        <v>1.0</v>
      </c>
      <c r="L415" s="329"/>
      <c r="M415" s="588">
        <v>1.0</v>
      </c>
      <c r="N415" s="329"/>
      <c r="O415" s="329"/>
      <c r="P415" s="329"/>
      <c r="Q415" s="588">
        <v>1.0</v>
      </c>
      <c r="R415" s="588"/>
      <c r="S415" s="588"/>
      <c r="T415" s="588" t="str">
        <f t="shared" si="3"/>
        <v/>
      </c>
      <c r="U415" s="329"/>
      <c r="V415" s="329"/>
      <c r="W415" s="329"/>
      <c r="X415" s="329"/>
      <c r="Y415" s="329"/>
      <c r="Z415" s="329"/>
      <c r="AA415" s="329"/>
      <c r="AB415" s="329"/>
      <c r="AC415" s="329"/>
      <c r="AD415" s="329"/>
      <c r="AE415" s="329"/>
      <c r="AF415" s="329"/>
      <c r="AG415" s="329"/>
    </row>
    <row r="416">
      <c r="B416" s="696" t="s">
        <v>3232</v>
      </c>
      <c r="C416" s="588" t="s">
        <v>4136</v>
      </c>
      <c r="D416" s="696" t="s">
        <v>4296</v>
      </c>
      <c r="E416" s="682"/>
      <c r="F416" s="329"/>
      <c r="G416" s="329"/>
      <c r="H416" s="329"/>
      <c r="I416" s="329"/>
      <c r="J416" s="329"/>
      <c r="K416" s="329"/>
      <c r="L416" s="329"/>
      <c r="M416" s="329"/>
      <c r="N416" s="329"/>
      <c r="O416" s="329"/>
      <c r="P416" s="329"/>
      <c r="Q416" s="329"/>
      <c r="R416" s="588"/>
      <c r="S416" s="588"/>
      <c r="T416" s="588">
        <f t="shared" si="3"/>
        <v>1</v>
      </c>
      <c r="U416" s="329"/>
      <c r="V416" s="329"/>
      <c r="W416" s="329"/>
      <c r="X416" s="329"/>
      <c r="Y416" s="329"/>
      <c r="Z416" s="329"/>
      <c r="AA416" s="329"/>
      <c r="AB416" s="329"/>
      <c r="AC416" s="329"/>
      <c r="AD416" s="329"/>
      <c r="AE416" s="329"/>
      <c r="AF416" s="329"/>
      <c r="AG416" s="329"/>
    </row>
    <row r="419">
      <c r="B419" s="18">
        <v>313.0</v>
      </c>
      <c r="C419">
        <f>countif(C119:C416, "No fork...")</f>
        <v>62</v>
      </c>
      <c r="E419" s="18">
        <v>92.0</v>
      </c>
      <c r="T419">
        <f>countif(T2:T416, 1)</f>
        <v>62</v>
      </c>
    </row>
  </sheetData>
  <mergeCells count="25">
    <mergeCell ref="H1:V1"/>
    <mergeCell ref="A3:A20"/>
    <mergeCell ref="A21:A31"/>
    <mergeCell ref="A32:A75"/>
    <mergeCell ref="A76:A103"/>
    <mergeCell ref="A104:A118"/>
    <mergeCell ref="A119:A129"/>
    <mergeCell ref="A130:A170"/>
    <mergeCell ref="A171:A198"/>
    <mergeCell ref="A199:A210"/>
    <mergeCell ref="A211:A219"/>
    <mergeCell ref="A220:A243"/>
    <mergeCell ref="A244:A258"/>
    <mergeCell ref="A259:A268"/>
    <mergeCell ref="A342:A346"/>
    <mergeCell ref="A347:A350"/>
    <mergeCell ref="A351:A386"/>
    <mergeCell ref="A387:A416"/>
    <mergeCell ref="A269:A273"/>
    <mergeCell ref="A274:A290"/>
    <mergeCell ref="A291:A301"/>
    <mergeCell ref="A302:A306"/>
    <mergeCell ref="A307:A310"/>
    <mergeCell ref="A311:A326"/>
    <mergeCell ref="A327:A341"/>
  </mergeCells>
  <hyperlinks>
    <hyperlink r:id="rId1" ref="C3"/>
    <hyperlink r:id="rId2" ref="C6"/>
    <hyperlink r:id="rId3" ref="C7"/>
    <hyperlink r:id="rId4" ref="C8"/>
    <hyperlink r:id="rId5" ref="C9"/>
    <hyperlink r:id="rId6" ref="C10"/>
    <hyperlink r:id="rId7" ref="C11"/>
    <hyperlink r:id="rId8" ref="C13"/>
    <hyperlink r:id="rId9" ref="C15"/>
    <hyperlink r:id="rId10" ref="C16"/>
    <hyperlink r:id="rId11" ref="C17"/>
    <hyperlink r:id="rId12" ref="C18"/>
    <hyperlink r:id="rId13" ref="C19"/>
    <hyperlink r:id="rId14" ref="C20"/>
    <hyperlink r:id="rId15" ref="C21"/>
    <hyperlink r:id="rId16" ref="C22"/>
    <hyperlink r:id="rId17" ref="C23"/>
    <hyperlink r:id="rId18" ref="C24"/>
    <hyperlink r:id="rId19" ref="C25"/>
    <hyperlink r:id="rId20" ref="C26"/>
    <hyperlink r:id="rId21" ref="C27"/>
    <hyperlink r:id="rId22" ref="C28"/>
    <hyperlink r:id="rId23" ref="C29"/>
    <hyperlink r:id="rId24" ref="C30"/>
    <hyperlink r:id="rId25" ref="C31"/>
    <hyperlink r:id="rId26" ref="C32"/>
    <hyperlink r:id="rId27" ref="C33"/>
    <hyperlink r:id="rId28" ref="C34"/>
    <hyperlink r:id="rId29" ref="C35"/>
    <hyperlink r:id="rId30" ref="C36"/>
    <hyperlink r:id="rId31" ref="C37"/>
    <hyperlink r:id="rId32" ref="C39"/>
    <hyperlink r:id="rId33" ref="C40"/>
    <hyperlink r:id="rId34" ref="C41"/>
    <hyperlink r:id="rId35" ref="C43"/>
    <hyperlink r:id="rId36" ref="C44"/>
    <hyperlink r:id="rId37" ref="C45"/>
    <hyperlink r:id="rId38" ref="C46"/>
    <hyperlink r:id="rId39" ref="C48"/>
    <hyperlink r:id="rId40" ref="C49"/>
    <hyperlink r:id="rId41" ref="C50"/>
    <hyperlink r:id="rId42" ref="C51"/>
    <hyperlink r:id="rId43" ref="C52"/>
    <hyperlink r:id="rId44" ref="C53"/>
    <hyperlink r:id="rId45" ref="C54"/>
    <hyperlink r:id="rId46" ref="C56"/>
    <hyperlink r:id="rId47" ref="C57"/>
    <hyperlink r:id="rId48" ref="C58"/>
    <hyperlink r:id="rId49" ref="C59"/>
    <hyperlink r:id="rId50" ref="C60"/>
    <hyperlink r:id="rId51" ref="C61"/>
    <hyperlink r:id="rId52" ref="C63"/>
    <hyperlink r:id="rId53" ref="C64"/>
    <hyperlink r:id="rId54" ref="C65"/>
    <hyperlink r:id="rId55" ref="C66"/>
    <hyperlink r:id="rId56" ref="C67"/>
    <hyperlink r:id="rId57" ref="C68"/>
    <hyperlink r:id="rId58" ref="C69"/>
    <hyperlink r:id="rId59" ref="C70"/>
    <hyperlink r:id="rId60" ref="C71"/>
    <hyperlink r:id="rId61" ref="C72"/>
    <hyperlink r:id="rId62" ref="C73"/>
    <hyperlink r:id="rId63" ref="C74"/>
    <hyperlink r:id="rId64" ref="C75"/>
    <hyperlink r:id="rId65" ref="C77"/>
    <hyperlink r:id="rId66" ref="C78"/>
    <hyperlink r:id="rId67" ref="C80"/>
    <hyperlink r:id="rId68" ref="C81"/>
    <hyperlink r:id="rId69" ref="C82"/>
    <hyperlink r:id="rId70" ref="C84"/>
    <hyperlink r:id="rId71" ref="C85"/>
    <hyperlink r:id="rId72" ref="C86"/>
    <hyperlink r:id="rId73" ref="C87"/>
    <hyperlink r:id="rId74" ref="C88"/>
    <hyperlink r:id="rId75" ref="C89"/>
    <hyperlink r:id="rId76" ref="C90"/>
    <hyperlink r:id="rId77" ref="C91"/>
    <hyperlink r:id="rId78" ref="C92"/>
    <hyperlink r:id="rId79" ref="C93"/>
    <hyperlink r:id="rId80" ref="C94"/>
    <hyperlink r:id="rId81" ref="C95"/>
    <hyperlink r:id="rId82" ref="C96"/>
    <hyperlink r:id="rId83" ref="C97"/>
    <hyperlink r:id="rId84" ref="C98"/>
    <hyperlink r:id="rId85" ref="C99"/>
    <hyperlink r:id="rId86" ref="C100"/>
    <hyperlink r:id="rId87" ref="C101"/>
    <hyperlink r:id="rId88" ref="C102"/>
    <hyperlink r:id="rId89" ref="C103"/>
    <hyperlink r:id="rId90" ref="C104"/>
    <hyperlink r:id="rId91" ref="C105"/>
    <hyperlink r:id="rId92" ref="C106"/>
    <hyperlink r:id="rId93" ref="C107"/>
    <hyperlink r:id="rId94" ref="C108"/>
    <hyperlink r:id="rId95" ref="C109"/>
    <hyperlink r:id="rId96" ref="C110"/>
    <hyperlink r:id="rId97" ref="C111"/>
    <hyperlink r:id="rId98" ref="C112"/>
    <hyperlink r:id="rId99" ref="C113"/>
    <hyperlink r:id="rId100" ref="C114"/>
    <hyperlink r:id="rId101" ref="C115"/>
    <hyperlink r:id="rId102" ref="C116"/>
    <hyperlink r:id="rId103" ref="C117"/>
    <hyperlink r:id="rId104" ref="C118"/>
    <hyperlink r:id="rId105" ref="C119"/>
    <hyperlink r:id="rId106" ref="C120"/>
    <hyperlink r:id="rId107" ref="C121"/>
    <hyperlink r:id="rId108" ref="C122"/>
    <hyperlink r:id="rId109" ref="C123"/>
    <hyperlink r:id="rId110" ref="C124"/>
    <hyperlink r:id="rId111" ref="C125"/>
    <hyperlink r:id="rId112" ref="C126"/>
    <hyperlink r:id="rId113" ref="C127"/>
    <hyperlink r:id="rId114" ref="C128"/>
    <hyperlink r:id="rId115" ref="C129"/>
    <hyperlink r:id="rId116" ref="C130"/>
    <hyperlink r:id="rId117" ref="C131"/>
    <hyperlink r:id="rId118" ref="C132"/>
    <hyperlink r:id="rId119" ref="C133"/>
    <hyperlink r:id="rId120" ref="C134"/>
    <hyperlink r:id="rId121" ref="C135"/>
    <hyperlink r:id="rId122" ref="C136"/>
    <hyperlink r:id="rId123" ref="C137"/>
    <hyperlink r:id="rId124" ref="C138"/>
    <hyperlink r:id="rId125" ref="C139"/>
    <hyperlink r:id="rId126" ref="C140"/>
    <hyperlink r:id="rId127" ref="C141"/>
    <hyperlink r:id="rId128" ref="C142"/>
    <hyperlink r:id="rId129" ref="C143"/>
    <hyperlink r:id="rId130" ref="C144"/>
    <hyperlink r:id="rId131" ref="C145"/>
    <hyperlink r:id="rId132" ref="C146"/>
    <hyperlink r:id="rId133" ref="C147"/>
    <hyperlink r:id="rId134" ref="C148"/>
    <hyperlink r:id="rId135" ref="C149"/>
    <hyperlink r:id="rId136" ref="C150"/>
    <hyperlink r:id="rId137" ref="C151"/>
    <hyperlink r:id="rId138" ref="C152"/>
    <hyperlink r:id="rId139" ref="C153"/>
    <hyperlink r:id="rId140" ref="C154"/>
    <hyperlink r:id="rId141" ref="C155"/>
    <hyperlink r:id="rId142" ref="C156"/>
    <hyperlink r:id="rId143" ref="C157"/>
    <hyperlink r:id="rId144" ref="C158"/>
    <hyperlink r:id="rId145" ref="C159"/>
    <hyperlink r:id="rId146" ref="C160"/>
    <hyperlink r:id="rId147" ref="C161"/>
    <hyperlink r:id="rId148" ref="C162"/>
    <hyperlink r:id="rId149" ref="C163"/>
    <hyperlink r:id="rId150" ref="C164"/>
    <hyperlink r:id="rId151" ref="C165"/>
    <hyperlink r:id="rId152" ref="C166"/>
    <hyperlink r:id="rId153" ref="C167"/>
    <hyperlink r:id="rId154" ref="C168"/>
    <hyperlink r:id="rId155" ref="C169"/>
    <hyperlink r:id="rId156" ref="C170"/>
    <hyperlink r:id="rId157" ref="C171"/>
    <hyperlink r:id="rId158" ref="C172"/>
    <hyperlink r:id="rId159" ref="C173"/>
    <hyperlink r:id="rId160" ref="C174"/>
    <hyperlink r:id="rId161" ref="C175"/>
    <hyperlink r:id="rId162" ref="C176"/>
    <hyperlink r:id="rId163" ref="C177"/>
    <hyperlink r:id="rId164" ref="C178"/>
    <hyperlink r:id="rId165" ref="C179"/>
    <hyperlink r:id="rId166" ref="C180"/>
    <hyperlink r:id="rId167" ref="C181"/>
    <hyperlink r:id="rId168" ref="C182"/>
    <hyperlink r:id="rId169" ref="C183"/>
    <hyperlink r:id="rId170" ref="C184"/>
    <hyperlink r:id="rId171" ref="C185"/>
    <hyperlink r:id="rId172" ref="C186"/>
    <hyperlink r:id="rId173" ref="C187"/>
    <hyperlink r:id="rId174" ref="C188"/>
    <hyperlink r:id="rId175" ref="C189"/>
    <hyperlink r:id="rId176" ref="C190"/>
    <hyperlink r:id="rId177" ref="C191"/>
    <hyperlink r:id="rId178" ref="C192"/>
    <hyperlink r:id="rId179" ref="C193"/>
    <hyperlink r:id="rId180" ref="C194"/>
    <hyperlink r:id="rId181" ref="C195"/>
    <hyperlink r:id="rId182" ref="C196"/>
    <hyperlink r:id="rId183" ref="C197"/>
    <hyperlink r:id="rId184" ref="C198"/>
    <hyperlink r:id="rId185" ref="C199"/>
    <hyperlink r:id="rId186" ref="C200"/>
    <hyperlink r:id="rId187" ref="C201"/>
    <hyperlink r:id="rId188" ref="C202"/>
    <hyperlink r:id="rId189" ref="C203"/>
    <hyperlink r:id="rId190" ref="C204"/>
    <hyperlink r:id="rId191" ref="C205"/>
    <hyperlink r:id="rId192" ref="C206"/>
    <hyperlink r:id="rId193" ref="C207"/>
    <hyperlink r:id="rId194" ref="C208"/>
    <hyperlink r:id="rId195" ref="C209"/>
    <hyperlink r:id="rId196" ref="C210"/>
    <hyperlink r:id="rId197" ref="C211"/>
    <hyperlink r:id="rId198" ref="C212"/>
    <hyperlink r:id="rId199" ref="C213"/>
    <hyperlink r:id="rId200" ref="C214"/>
    <hyperlink r:id="rId201" ref="C215"/>
    <hyperlink r:id="rId202" ref="C216"/>
    <hyperlink r:id="rId203" ref="C217"/>
    <hyperlink r:id="rId204" ref="C218"/>
    <hyperlink r:id="rId205" ref="C219"/>
    <hyperlink r:id="rId206" ref="C220"/>
    <hyperlink r:id="rId207" ref="C221"/>
    <hyperlink r:id="rId208" ref="C222"/>
    <hyperlink r:id="rId209" ref="C223"/>
    <hyperlink r:id="rId210" ref="C224"/>
    <hyperlink r:id="rId211" ref="C225"/>
    <hyperlink r:id="rId212" ref="C226"/>
    <hyperlink r:id="rId213" ref="C227"/>
    <hyperlink r:id="rId214" ref="C228"/>
    <hyperlink r:id="rId215" ref="C229"/>
    <hyperlink r:id="rId216" ref="C230"/>
    <hyperlink r:id="rId217" ref="C231"/>
    <hyperlink r:id="rId218" ref="C232"/>
    <hyperlink r:id="rId219" ref="C233"/>
    <hyperlink r:id="rId220" ref="C234"/>
    <hyperlink r:id="rId221" ref="C235"/>
    <hyperlink r:id="rId222" ref="C236"/>
    <hyperlink r:id="rId223" ref="C237"/>
    <hyperlink r:id="rId224" ref="C238"/>
    <hyperlink r:id="rId225" ref="C239"/>
    <hyperlink r:id="rId226" ref="C240"/>
    <hyperlink r:id="rId227" ref="C241"/>
    <hyperlink r:id="rId228" ref="C242"/>
    <hyperlink r:id="rId229" ref="C243"/>
    <hyperlink r:id="rId230" ref="C244"/>
    <hyperlink r:id="rId231" ref="C245"/>
    <hyperlink r:id="rId232" ref="C246"/>
    <hyperlink r:id="rId233" ref="C247"/>
    <hyperlink r:id="rId234" ref="C248"/>
    <hyperlink r:id="rId235" ref="C249"/>
    <hyperlink r:id="rId236" ref="C250"/>
    <hyperlink r:id="rId237" ref="C251"/>
    <hyperlink r:id="rId238" ref="C252"/>
    <hyperlink r:id="rId239" ref="C253"/>
    <hyperlink r:id="rId240" ref="C254"/>
    <hyperlink r:id="rId241" ref="C255"/>
    <hyperlink r:id="rId242" ref="C256"/>
    <hyperlink r:id="rId243" ref="C257"/>
    <hyperlink r:id="rId244" ref="C258"/>
    <hyperlink r:id="rId245" ref="C259"/>
    <hyperlink r:id="rId246" ref="C260"/>
    <hyperlink r:id="rId247" ref="C261"/>
    <hyperlink r:id="rId248" ref="C262"/>
    <hyperlink r:id="rId249" ref="C263"/>
    <hyperlink r:id="rId250" ref="C264"/>
    <hyperlink r:id="rId251" ref="C265"/>
    <hyperlink r:id="rId252" ref="C266"/>
    <hyperlink r:id="rId253" ref="C267"/>
    <hyperlink r:id="rId254" ref="C268"/>
    <hyperlink r:id="rId255" ref="C269"/>
    <hyperlink r:id="rId256" ref="C270"/>
    <hyperlink r:id="rId257" ref="C271"/>
    <hyperlink r:id="rId258" ref="C272"/>
    <hyperlink r:id="rId259" ref="C273"/>
    <hyperlink r:id="rId260" ref="C274"/>
    <hyperlink r:id="rId261" ref="C275"/>
    <hyperlink r:id="rId262" ref="C276"/>
    <hyperlink r:id="rId263" ref="C277"/>
    <hyperlink r:id="rId264" ref="C278"/>
    <hyperlink r:id="rId265" ref="C279"/>
    <hyperlink r:id="rId266" ref="C280"/>
    <hyperlink r:id="rId267" ref="C281"/>
    <hyperlink r:id="rId268" ref="C282"/>
    <hyperlink r:id="rId269" ref="C283"/>
    <hyperlink r:id="rId270" ref="C284"/>
    <hyperlink r:id="rId271" ref="C285"/>
    <hyperlink r:id="rId272" ref="C286"/>
    <hyperlink r:id="rId273" ref="C287"/>
    <hyperlink r:id="rId274" ref="C288"/>
    <hyperlink r:id="rId275" ref="C289"/>
    <hyperlink r:id="rId276" ref="C290"/>
    <hyperlink r:id="rId277" ref="C291"/>
    <hyperlink r:id="rId278" ref="C292"/>
    <hyperlink r:id="rId279" ref="C293"/>
    <hyperlink r:id="rId280" ref="C294"/>
    <hyperlink r:id="rId281" ref="C295"/>
    <hyperlink r:id="rId282" ref="C296"/>
    <hyperlink r:id="rId283" ref="C297"/>
    <hyperlink r:id="rId284" ref="C298"/>
    <hyperlink r:id="rId285" ref="C299"/>
    <hyperlink r:id="rId286" ref="C300"/>
    <hyperlink r:id="rId287" ref="C301"/>
    <hyperlink r:id="rId288" ref="C302"/>
    <hyperlink r:id="rId289" ref="C303"/>
    <hyperlink r:id="rId290" ref="C306"/>
    <hyperlink r:id="rId291" ref="C307"/>
    <hyperlink r:id="rId292" ref="C308"/>
    <hyperlink r:id="rId293" ref="C309"/>
    <hyperlink r:id="rId294" ref="C311"/>
    <hyperlink r:id="rId295" ref="C312"/>
    <hyperlink r:id="rId296" ref="C313"/>
    <hyperlink r:id="rId297" ref="C314"/>
    <hyperlink r:id="rId298" ref="C316"/>
    <hyperlink r:id="rId299" ref="C317"/>
    <hyperlink r:id="rId300" ref="C318"/>
    <hyperlink r:id="rId301" ref="C319"/>
    <hyperlink r:id="rId302" ref="C324"/>
    <hyperlink r:id="rId303" ref="C326"/>
    <hyperlink r:id="rId304" ref="C327"/>
    <hyperlink r:id="rId305" ref="C328"/>
    <hyperlink r:id="rId306" ref="C329"/>
    <hyperlink r:id="rId307" ref="C330"/>
    <hyperlink r:id="rId308" ref="C331"/>
    <hyperlink r:id="rId309" ref="C332"/>
    <hyperlink r:id="rId310" ref="C333"/>
    <hyperlink r:id="rId311" ref="C334"/>
    <hyperlink r:id="rId312" ref="C335"/>
    <hyperlink r:id="rId313" ref="C336"/>
    <hyperlink r:id="rId314" ref="C337"/>
    <hyperlink r:id="rId315" ref="C338"/>
    <hyperlink r:id="rId316" ref="C339"/>
    <hyperlink r:id="rId317" ref="C340"/>
    <hyperlink r:id="rId318" ref="C341"/>
    <hyperlink r:id="rId319" ref="C343"/>
    <hyperlink r:id="rId320" ref="C344"/>
    <hyperlink r:id="rId321" ref="C345"/>
    <hyperlink r:id="rId322" ref="C347"/>
    <hyperlink r:id="rId323" ref="C348"/>
    <hyperlink r:id="rId324" ref="C349"/>
    <hyperlink r:id="rId325" ref="C350"/>
    <hyperlink r:id="rId326" ref="C351"/>
    <hyperlink r:id="rId327" ref="C357"/>
    <hyperlink r:id="rId328" ref="C381"/>
    <hyperlink r:id="rId329" ref="C388"/>
    <hyperlink r:id="rId330" ref="C390"/>
    <hyperlink r:id="rId331" ref="C392"/>
    <hyperlink r:id="rId332" ref="C395"/>
    <hyperlink r:id="rId333" ref="C396"/>
    <hyperlink r:id="rId334" ref="C397"/>
    <hyperlink r:id="rId335" ref="C404"/>
    <hyperlink r:id="rId336" ref="C406"/>
    <hyperlink r:id="rId337" ref="C407"/>
    <hyperlink r:id="rId338" ref="C409"/>
    <hyperlink r:id="rId339" ref="C413"/>
    <hyperlink r:id="rId340" ref="C415"/>
  </hyperlinks>
  <drawing r:id="rId34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1" width="12.88"/>
    <col customWidth="1" min="2" max="2" width="5.88"/>
    <col customWidth="1" min="3" max="3" width="49.13"/>
    <col customWidth="1" min="4" max="4" width="35.25"/>
    <col customWidth="1" min="5" max="5" width="20.63"/>
    <col customWidth="1" min="6" max="6" width="14.38"/>
    <col hidden="1" min="7" max="8" width="12.63"/>
    <col customWidth="1" hidden="1" min="9" max="9" width="11.38"/>
    <col customWidth="1" hidden="1" min="10" max="10" width="10.75"/>
    <col customWidth="1" hidden="1" min="11" max="11" width="10.5"/>
    <col customWidth="1" hidden="1" min="12" max="12" width="14.25"/>
    <col customWidth="1" hidden="1" min="13" max="13" width="13.5"/>
    <col hidden="1" min="14" max="14" width="12.63"/>
    <col customWidth="1" hidden="1" min="15" max="15" width="5.63"/>
    <col hidden="1" min="16" max="17" width="12.63"/>
    <col customWidth="1" hidden="1" min="18" max="18" width="15.13"/>
    <col hidden="1" min="19" max="23" width="12.63"/>
    <col customWidth="1" min="24" max="24" width="3.63"/>
    <col customWidth="1" min="25" max="25" width="70.88"/>
  </cols>
  <sheetData>
    <row r="1">
      <c r="A1" s="514" t="s">
        <v>0</v>
      </c>
      <c r="B1" s="514" t="s">
        <v>4297</v>
      </c>
      <c r="C1" s="514" t="s">
        <v>4298</v>
      </c>
      <c r="D1" s="514" t="s">
        <v>2</v>
      </c>
      <c r="E1" s="509" t="s">
        <v>5</v>
      </c>
      <c r="F1" s="697" t="s">
        <v>4484</v>
      </c>
      <c r="G1" s="10"/>
      <c r="H1" s="10"/>
      <c r="I1" s="509" t="s">
        <v>4299</v>
      </c>
      <c r="X1" s="18" t="s">
        <v>4485</v>
      </c>
    </row>
    <row r="2">
      <c r="C2" s="514"/>
      <c r="E2" s="698">
        <f>COUNTIF(F3:F1168, "*Redo, final project*")</f>
        <v>9</v>
      </c>
      <c r="F2" s="699">
        <f>COUNTIF(F3:F1168, "*Redo, OSS*")</f>
        <v>23</v>
      </c>
      <c r="G2" s="514" t="s">
        <v>3719</v>
      </c>
      <c r="H2" s="514" t="s">
        <v>3720</v>
      </c>
      <c r="I2" s="18" t="s">
        <v>4300</v>
      </c>
      <c r="J2" s="18" t="s">
        <v>4301</v>
      </c>
      <c r="K2" s="18" t="s">
        <v>4302</v>
      </c>
      <c r="L2" s="18" t="s">
        <v>4303</v>
      </c>
      <c r="M2" s="18" t="s">
        <v>4304</v>
      </c>
      <c r="N2" s="18" t="s">
        <v>4305</v>
      </c>
      <c r="O2" s="18" t="s">
        <v>4306</v>
      </c>
      <c r="P2" s="18" t="s">
        <v>4307</v>
      </c>
      <c r="Q2" s="18" t="s">
        <v>4308</v>
      </c>
      <c r="R2" s="18" t="s">
        <v>4309</v>
      </c>
      <c r="S2" s="638" t="s">
        <v>4310</v>
      </c>
      <c r="T2" s="638" t="s">
        <v>4311</v>
      </c>
      <c r="U2" s="638" t="s">
        <v>4312</v>
      </c>
      <c r="V2" s="18" t="s">
        <v>4313</v>
      </c>
      <c r="W2" s="18" t="s">
        <v>4314</v>
      </c>
      <c r="Y2" s="700"/>
    </row>
    <row r="3">
      <c r="A3" s="639" t="s">
        <v>1443</v>
      </c>
      <c r="B3" s="640" t="s">
        <v>1512</v>
      </c>
      <c r="C3" s="542" t="s">
        <v>4315</v>
      </c>
      <c r="D3" s="641" t="s">
        <v>3805</v>
      </c>
      <c r="E3" s="642"/>
      <c r="F3" s="537" t="s">
        <v>4486</v>
      </c>
      <c r="G3" s="537"/>
      <c r="H3" s="536"/>
      <c r="I3" s="536"/>
      <c r="J3" s="537"/>
      <c r="K3" s="536"/>
      <c r="L3" s="537"/>
      <c r="M3" s="537"/>
      <c r="N3" s="537"/>
      <c r="O3" s="537"/>
      <c r="P3" s="536"/>
      <c r="Q3" s="537"/>
      <c r="R3" s="537"/>
      <c r="S3" s="537"/>
      <c r="T3" s="537"/>
      <c r="U3" s="537"/>
      <c r="V3" s="536"/>
      <c r="W3" s="536"/>
      <c r="X3" s="536"/>
      <c r="Y3" s="536"/>
      <c r="Z3" s="536"/>
      <c r="AA3" s="536"/>
      <c r="AB3" s="536"/>
      <c r="AC3" s="536"/>
      <c r="AD3" s="536"/>
      <c r="AE3" s="536"/>
      <c r="AF3" s="536"/>
      <c r="AG3" s="536"/>
      <c r="AH3" s="536"/>
      <c r="AI3" s="536"/>
    </row>
    <row r="4">
      <c r="B4" s="640" t="s">
        <v>1511</v>
      </c>
      <c r="C4" s="537"/>
      <c r="D4" s="641" t="s">
        <v>4316</v>
      </c>
      <c r="E4" s="642" t="s">
        <v>4317</v>
      </c>
      <c r="F4" s="537" t="s">
        <v>4486</v>
      </c>
      <c r="G4" s="537"/>
      <c r="H4" s="536"/>
      <c r="I4" s="536"/>
      <c r="J4" s="537"/>
      <c r="K4" s="536"/>
      <c r="L4" s="537"/>
      <c r="M4" s="537"/>
      <c r="N4" s="537"/>
      <c r="O4" s="537"/>
      <c r="P4" s="536"/>
      <c r="Q4" s="537"/>
      <c r="R4" s="537"/>
      <c r="S4" s="537"/>
      <c r="T4" s="537"/>
      <c r="U4" s="537"/>
      <c r="V4" s="536"/>
      <c r="W4" s="536"/>
      <c r="X4" s="536"/>
      <c r="Y4" s="536"/>
      <c r="Z4" s="536"/>
      <c r="AA4" s="536"/>
      <c r="AB4" s="536"/>
      <c r="AC4" s="536"/>
      <c r="AD4" s="536"/>
      <c r="AE4" s="536"/>
      <c r="AF4" s="536"/>
      <c r="AG4" s="536"/>
      <c r="AH4" s="536"/>
      <c r="AI4" s="536"/>
    </row>
    <row r="5">
      <c r="B5" s="640" t="s">
        <v>1510</v>
      </c>
      <c r="C5" s="537"/>
      <c r="D5" s="641" t="s">
        <v>4318</v>
      </c>
      <c r="E5" s="642" t="s">
        <v>4317</v>
      </c>
      <c r="F5" s="537" t="s">
        <v>4486</v>
      </c>
      <c r="G5" s="537"/>
      <c r="H5" s="536"/>
      <c r="I5" s="536"/>
      <c r="J5" s="537"/>
      <c r="K5" s="536"/>
      <c r="L5" s="537"/>
      <c r="M5" s="537"/>
      <c r="N5" s="537"/>
      <c r="O5" s="537"/>
      <c r="P5" s="536"/>
      <c r="Q5" s="537"/>
      <c r="R5" s="537"/>
      <c r="S5" s="537"/>
      <c r="T5" s="537"/>
      <c r="U5" s="537"/>
      <c r="V5" s="536"/>
      <c r="W5" s="536"/>
      <c r="X5" s="536"/>
      <c r="Y5" s="536"/>
      <c r="Z5" s="536"/>
      <c r="AA5" s="536"/>
      <c r="AB5" s="536"/>
      <c r="AC5" s="536"/>
      <c r="AD5" s="536"/>
      <c r="AE5" s="536"/>
      <c r="AF5" s="536"/>
      <c r="AG5" s="536"/>
      <c r="AH5" s="536"/>
      <c r="AI5" s="536"/>
    </row>
    <row r="6">
      <c r="B6" s="640" t="s">
        <v>1506</v>
      </c>
      <c r="C6" s="542" t="s">
        <v>4319</v>
      </c>
      <c r="D6" s="641" t="s">
        <v>3825</v>
      </c>
      <c r="E6" s="642"/>
      <c r="F6" s="537" t="s">
        <v>4486</v>
      </c>
      <c r="G6" s="537"/>
      <c r="H6" s="536"/>
      <c r="I6" s="536"/>
      <c r="J6" s="537"/>
      <c r="K6" s="536"/>
      <c r="L6" s="537"/>
      <c r="M6" s="537"/>
      <c r="N6" s="537"/>
      <c r="O6" s="537"/>
      <c r="P6" s="536"/>
      <c r="Q6" s="537"/>
      <c r="R6" s="537"/>
      <c r="S6" s="537"/>
      <c r="T6" s="537"/>
      <c r="U6" s="537"/>
      <c r="V6" s="536"/>
      <c r="W6" s="536"/>
      <c r="X6" s="537" t="s">
        <v>4487</v>
      </c>
      <c r="Y6" s="537" t="s">
        <v>4488</v>
      </c>
      <c r="Z6" s="536"/>
      <c r="AA6" s="536"/>
      <c r="AB6" s="536"/>
      <c r="AC6" s="536"/>
      <c r="AD6" s="536"/>
      <c r="AE6" s="536"/>
      <c r="AF6" s="536"/>
      <c r="AG6" s="536"/>
      <c r="AH6" s="536"/>
      <c r="AI6" s="536"/>
    </row>
    <row r="7">
      <c r="B7" s="640" t="s">
        <v>1501</v>
      </c>
      <c r="C7" s="542" t="s">
        <v>4320</v>
      </c>
      <c r="D7" s="641" t="s">
        <v>4321</v>
      </c>
      <c r="E7" s="642"/>
      <c r="F7" s="537" t="s">
        <v>4486</v>
      </c>
      <c r="G7" s="537"/>
      <c r="H7" s="536"/>
      <c r="I7" s="536"/>
      <c r="J7" s="537"/>
      <c r="K7" s="536"/>
      <c r="L7" s="537"/>
      <c r="M7" s="537"/>
      <c r="N7" s="537"/>
      <c r="O7" s="537"/>
      <c r="P7" s="536"/>
      <c r="Q7" s="537"/>
      <c r="R7" s="537"/>
      <c r="S7" s="537"/>
      <c r="T7" s="537"/>
      <c r="U7" s="537"/>
      <c r="V7" s="536"/>
      <c r="W7" s="536"/>
      <c r="X7" s="536"/>
      <c r="Y7" s="536"/>
      <c r="Z7" s="536"/>
      <c r="AA7" s="536"/>
      <c r="AB7" s="536"/>
      <c r="AC7" s="536"/>
      <c r="AD7" s="536"/>
      <c r="AE7" s="536"/>
      <c r="AF7" s="536"/>
      <c r="AG7" s="536"/>
      <c r="AH7" s="536"/>
      <c r="AI7" s="536"/>
    </row>
    <row r="8">
      <c r="B8" s="640" t="s">
        <v>1497</v>
      </c>
      <c r="C8" s="542" t="s">
        <v>4322</v>
      </c>
      <c r="D8" s="641" t="s">
        <v>4323</v>
      </c>
      <c r="E8" s="642"/>
      <c r="F8" s="537" t="s">
        <v>4489</v>
      </c>
      <c r="G8" s="537"/>
      <c r="H8" s="536"/>
      <c r="I8" s="536"/>
      <c r="J8" s="537"/>
      <c r="K8" s="536"/>
      <c r="L8" s="537"/>
      <c r="M8" s="537"/>
      <c r="N8" s="537"/>
      <c r="O8" s="537"/>
      <c r="P8" s="536"/>
      <c r="Q8" s="537"/>
      <c r="R8" s="537"/>
      <c r="S8" s="537"/>
      <c r="T8" s="537"/>
      <c r="U8" s="537"/>
      <c r="V8" s="536"/>
      <c r="W8" s="536"/>
      <c r="X8" s="536"/>
      <c r="Y8" s="536"/>
      <c r="Z8" s="536"/>
      <c r="AA8" s="536"/>
      <c r="AB8" s="536"/>
      <c r="AC8" s="536"/>
      <c r="AD8" s="536"/>
      <c r="AE8" s="536"/>
      <c r="AF8" s="536"/>
      <c r="AG8" s="536"/>
      <c r="AH8" s="536"/>
      <c r="AI8" s="536"/>
    </row>
    <row r="9">
      <c r="B9" s="640" t="s">
        <v>1492</v>
      </c>
      <c r="C9" s="542" t="s">
        <v>4324</v>
      </c>
      <c r="D9" s="641" t="s">
        <v>883</v>
      </c>
      <c r="E9" s="642" t="s">
        <v>4490</v>
      </c>
      <c r="F9" s="537" t="s">
        <v>4491</v>
      </c>
      <c r="G9" s="537"/>
      <c r="H9" s="536"/>
      <c r="I9" s="536"/>
      <c r="J9" s="537"/>
      <c r="K9" s="536"/>
      <c r="L9" s="537"/>
      <c r="M9" s="537"/>
      <c r="N9" s="537"/>
      <c r="O9" s="537"/>
      <c r="P9" s="536"/>
      <c r="Q9" s="537"/>
      <c r="R9" s="537"/>
      <c r="S9" s="537"/>
      <c r="T9" s="537"/>
      <c r="U9" s="537"/>
      <c r="V9" s="536"/>
      <c r="W9" s="536"/>
      <c r="X9" s="536"/>
      <c r="Y9" s="536"/>
      <c r="Z9" s="536"/>
      <c r="AA9" s="536"/>
      <c r="AB9" s="536"/>
      <c r="AC9" s="536"/>
      <c r="AD9" s="536"/>
      <c r="AE9" s="536"/>
      <c r="AF9" s="536"/>
      <c r="AG9" s="536"/>
      <c r="AH9" s="536"/>
      <c r="AI9" s="536"/>
    </row>
    <row r="10">
      <c r="B10" s="640" t="s">
        <v>1488</v>
      </c>
      <c r="C10" s="542" t="s">
        <v>4325</v>
      </c>
      <c r="D10" s="641" t="s">
        <v>4326</v>
      </c>
      <c r="E10" s="642" t="s">
        <v>3728</v>
      </c>
      <c r="F10" s="537"/>
      <c r="G10" s="537"/>
      <c r="H10" s="536"/>
      <c r="I10" s="536"/>
      <c r="J10" s="537"/>
      <c r="K10" s="536"/>
      <c r="L10" s="537"/>
      <c r="M10" s="537"/>
      <c r="N10" s="537"/>
      <c r="O10" s="537"/>
      <c r="P10" s="536"/>
      <c r="Q10" s="537"/>
      <c r="R10" s="537"/>
      <c r="S10" s="537"/>
      <c r="T10" s="537"/>
      <c r="U10" s="537"/>
      <c r="V10" s="536"/>
      <c r="W10" s="536"/>
      <c r="X10" s="536"/>
      <c r="Y10" s="536"/>
      <c r="Z10" s="536"/>
      <c r="AA10" s="536"/>
      <c r="AB10" s="536"/>
      <c r="AC10" s="536"/>
      <c r="AD10" s="536"/>
      <c r="AE10" s="536"/>
      <c r="AF10" s="536"/>
      <c r="AG10" s="536"/>
      <c r="AH10" s="536"/>
      <c r="AI10" s="536"/>
    </row>
    <row r="11">
      <c r="B11" s="640" t="s">
        <v>1484</v>
      </c>
      <c r="C11" s="542" t="s">
        <v>4327</v>
      </c>
      <c r="D11" s="641" t="s">
        <v>3795</v>
      </c>
      <c r="E11" s="642" t="s">
        <v>4492</v>
      </c>
      <c r="F11" s="537"/>
      <c r="G11" s="537"/>
      <c r="H11" s="536"/>
      <c r="I11" s="536"/>
      <c r="J11" s="537"/>
      <c r="K11" s="536"/>
      <c r="L11" s="537"/>
      <c r="M11" s="537"/>
      <c r="N11" s="537"/>
      <c r="O11" s="537"/>
      <c r="P11" s="536"/>
      <c r="Q11" s="537"/>
      <c r="R11" s="537"/>
      <c r="S11" s="537"/>
      <c r="T11" s="537"/>
      <c r="U11" s="537"/>
      <c r="V11" s="536"/>
      <c r="W11" s="536"/>
      <c r="X11" s="536"/>
      <c r="Y11" s="536"/>
      <c r="Z11" s="536"/>
      <c r="AA11" s="536"/>
      <c r="AB11" s="536"/>
      <c r="AC11" s="536"/>
      <c r="AD11" s="536"/>
      <c r="AE11" s="536"/>
      <c r="AF11" s="536"/>
      <c r="AG11" s="536"/>
      <c r="AH11" s="536"/>
      <c r="AI11" s="536"/>
    </row>
    <row r="12">
      <c r="B12" s="640" t="s">
        <v>1483</v>
      </c>
      <c r="C12" s="537"/>
      <c r="D12" s="641" t="s">
        <v>104</v>
      </c>
      <c r="E12" s="642" t="s">
        <v>4317</v>
      </c>
      <c r="F12" s="537" t="s">
        <v>4486</v>
      </c>
      <c r="G12" s="537"/>
      <c r="H12" s="536"/>
      <c r="I12" s="536"/>
      <c r="J12" s="537"/>
      <c r="K12" s="536"/>
      <c r="L12" s="537"/>
      <c r="M12" s="537"/>
      <c r="N12" s="537"/>
      <c r="O12" s="537"/>
      <c r="P12" s="536"/>
      <c r="Q12" s="537"/>
      <c r="R12" s="537"/>
      <c r="S12" s="537"/>
      <c r="T12" s="537"/>
      <c r="U12" s="537"/>
      <c r="V12" s="536"/>
      <c r="W12" s="536"/>
      <c r="X12" s="536"/>
      <c r="Y12" s="536"/>
      <c r="Z12" s="536"/>
      <c r="AA12" s="536"/>
      <c r="AB12" s="536"/>
      <c r="AC12" s="536"/>
      <c r="AD12" s="536"/>
      <c r="AE12" s="536"/>
      <c r="AF12" s="536"/>
      <c r="AG12" s="536"/>
      <c r="AH12" s="536"/>
      <c r="AI12" s="536"/>
    </row>
    <row r="13">
      <c r="B13" s="640" t="s">
        <v>1479</v>
      </c>
      <c r="C13" s="542" t="s">
        <v>4328</v>
      </c>
      <c r="D13" s="641" t="s">
        <v>4329</v>
      </c>
      <c r="E13" s="642"/>
      <c r="F13" s="537" t="s">
        <v>4493</v>
      </c>
      <c r="G13" s="537"/>
      <c r="H13" s="536"/>
      <c r="I13" s="536"/>
      <c r="J13" s="537"/>
      <c r="K13" s="536"/>
      <c r="L13" s="537"/>
      <c r="M13" s="537"/>
      <c r="N13" s="537"/>
      <c r="O13" s="537"/>
      <c r="P13" s="536"/>
      <c r="Q13" s="537"/>
      <c r="R13" s="537"/>
      <c r="S13" s="537"/>
      <c r="T13" s="537"/>
      <c r="U13" s="537"/>
      <c r="V13" s="536"/>
      <c r="W13" s="536"/>
      <c r="X13" s="536"/>
      <c r="Y13" s="536"/>
      <c r="Z13" s="536"/>
      <c r="AA13" s="536"/>
      <c r="AB13" s="536"/>
      <c r="AC13" s="536"/>
      <c r="AD13" s="536"/>
      <c r="AE13" s="536"/>
      <c r="AF13" s="536"/>
      <c r="AG13" s="536"/>
      <c r="AH13" s="536"/>
      <c r="AI13" s="536"/>
    </row>
    <row r="14">
      <c r="B14" s="640" t="s">
        <v>1477</v>
      </c>
      <c r="C14" s="537"/>
      <c r="D14" s="641" t="s">
        <v>4330</v>
      </c>
      <c r="E14" s="642" t="s">
        <v>4317</v>
      </c>
      <c r="F14" s="537" t="s">
        <v>4486</v>
      </c>
      <c r="G14" s="537"/>
      <c r="H14" s="536"/>
      <c r="I14" s="536"/>
      <c r="J14" s="537"/>
      <c r="K14" s="536"/>
      <c r="L14" s="537"/>
      <c r="M14" s="537"/>
      <c r="N14" s="537"/>
      <c r="O14" s="537"/>
      <c r="P14" s="536"/>
      <c r="Q14" s="537"/>
      <c r="R14" s="537"/>
      <c r="S14" s="537"/>
      <c r="T14" s="537"/>
      <c r="U14" s="537"/>
      <c r="V14" s="536"/>
      <c r="W14" s="536"/>
      <c r="X14" s="536"/>
      <c r="Y14" s="536"/>
      <c r="Z14" s="536"/>
      <c r="AA14" s="536"/>
      <c r="AB14" s="536"/>
      <c r="AC14" s="536"/>
      <c r="AD14" s="536"/>
      <c r="AE14" s="536"/>
      <c r="AF14" s="536"/>
      <c r="AG14" s="536"/>
      <c r="AH14" s="536"/>
      <c r="AI14" s="536"/>
    </row>
    <row r="15">
      <c r="B15" s="640" t="s">
        <v>4331</v>
      </c>
      <c r="C15" s="542" t="s">
        <v>4332</v>
      </c>
      <c r="D15" s="641" t="s">
        <v>4333</v>
      </c>
      <c r="E15" s="642" t="s">
        <v>3728</v>
      </c>
      <c r="F15" s="537"/>
      <c r="G15" s="537"/>
      <c r="H15" s="536"/>
      <c r="I15" s="536"/>
      <c r="J15" s="537"/>
      <c r="K15" s="536"/>
      <c r="L15" s="537"/>
      <c r="M15" s="537"/>
      <c r="N15" s="537"/>
      <c r="O15" s="537"/>
      <c r="P15" s="536"/>
      <c r="Q15" s="537"/>
      <c r="R15" s="537"/>
      <c r="S15" s="537"/>
      <c r="T15" s="537"/>
      <c r="U15" s="537"/>
      <c r="V15" s="536"/>
      <c r="W15" s="536"/>
      <c r="X15" s="536"/>
      <c r="Y15" s="536"/>
      <c r="Z15" s="536"/>
      <c r="AA15" s="536"/>
      <c r="AB15" s="536"/>
      <c r="AC15" s="536"/>
      <c r="AD15" s="536"/>
      <c r="AE15" s="536"/>
      <c r="AF15" s="536"/>
      <c r="AG15" s="536"/>
      <c r="AH15" s="536"/>
      <c r="AI15" s="536"/>
    </row>
    <row r="16">
      <c r="B16" s="640" t="s">
        <v>4331</v>
      </c>
      <c r="C16" s="542" t="s">
        <v>4334</v>
      </c>
      <c r="D16" s="641" t="s">
        <v>4335</v>
      </c>
      <c r="E16" s="642"/>
      <c r="F16" s="537"/>
      <c r="G16" s="537"/>
      <c r="H16" s="536"/>
      <c r="I16" s="536"/>
      <c r="J16" s="537"/>
      <c r="K16" s="536"/>
      <c r="L16" s="537"/>
      <c r="M16" s="537"/>
      <c r="N16" s="537"/>
      <c r="O16" s="537"/>
      <c r="P16" s="536"/>
      <c r="Q16" s="537"/>
      <c r="R16" s="537"/>
      <c r="S16" s="537"/>
      <c r="T16" s="537"/>
      <c r="U16" s="537"/>
      <c r="V16" s="536"/>
      <c r="W16" s="536"/>
      <c r="X16" s="536"/>
      <c r="Y16" s="536"/>
      <c r="Z16" s="536"/>
      <c r="AA16" s="536"/>
      <c r="AB16" s="536"/>
      <c r="AC16" s="536"/>
      <c r="AD16" s="536"/>
      <c r="AE16" s="536"/>
      <c r="AF16" s="536"/>
      <c r="AG16" s="536"/>
      <c r="AH16" s="536"/>
      <c r="AI16" s="536"/>
    </row>
    <row r="17">
      <c r="B17" s="640" t="s">
        <v>4336</v>
      </c>
      <c r="C17" s="542" t="s">
        <v>4337</v>
      </c>
      <c r="D17" s="641" t="s">
        <v>4338</v>
      </c>
      <c r="E17" s="642" t="s">
        <v>4339</v>
      </c>
      <c r="F17" s="537"/>
      <c r="G17" s="537"/>
      <c r="H17" s="536"/>
      <c r="I17" s="536"/>
      <c r="J17" s="537"/>
      <c r="K17" s="536"/>
      <c r="L17" s="537"/>
      <c r="M17" s="537"/>
      <c r="N17" s="537"/>
      <c r="O17" s="537"/>
      <c r="P17" s="536"/>
      <c r="Q17" s="537"/>
      <c r="R17" s="537"/>
      <c r="S17" s="537"/>
      <c r="T17" s="537"/>
      <c r="U17" s="537"/>
      <c r="V17" s="536"/>
      <c r="W17" s="536"/>
      <c r="X17" s="536"/>
      <c r="Y17" s="536"/>
      <c r="Z17" s="536"/>
      <c r="AA17" s="536"/>
      <c r="AB17" s="536"/>
      <c r="AC17" s="536"/>
      <c r="AD17" s="536"/>
      <c r="AE17" s="536"/>
      <c r="AF17" s="536"/>
      <c r="AG17" s="536"/>
      <c r="AH17" s="536"/>
      <c r="AI17" s="536"/>
    </row>
    <row r="18">
      <c r="B18" s="640" t="s">
        <v>4336</v>
      </c>
      <c r="C18" s="542" t="s">
        <v>4340</v>
      </c>
      <c r="D18" s="641" t="s">
        <v>4341</v>
      </c>
      <c r="E18" s="642" t="s">
        <v>4339</v>
      </c>
      <c r="F18" s="537"/>
      <c r="G18" s="537"/>
      <c r="H18" s="536"/>
      <c r="I18" s="536"/>
      <c r="J18" s="537"/>
      <c r="K18" s="536"/>
      <c r="L18" s="537"/>
      <c r="M18" s="537"/>
      <c r="N18" s="537"/>
      <c r="O18" s="537"/>
      <c r="P18" s="536"/>
      <c r="Q18" s="537"/>
      <c r="R18" s="537"/>
      <c r="S18" s="537"/>
      <c r="T18" s="537"/>
      <c r="U18" s="537"/>
      <c r="V18" s="536"/>
      <c r="W18" s="536"/>
      <c r="X18" s="536"/>
      <c r="Y18" s="536"/>
      <c r="Z18" s="536"/>
      <c r="AA18" s="536"/>
      <c r="AB18" s="536"/>
      <c r="AC18" s="536"/>
      <c r="AD18" s="536"/>
      <c r="AE18" s="536"/>
      <c r="AF18" s="536"/>
      <c r="AG18" s="536"/>
      <c r="AH18" s="536"/>
      <c r="AI18" s="536"/>
    </row>
    <row r="19">
      <c r="B19" s="640" t="s">
        <v>4342</v>
      </c>
      <c r="C19" s="542" t="s">
        <v>4343</v>
      </c>
      <c r="D19" s="641" t="s">
        <v>4344</v>
      </c>
      <c r="E19" s="642" t="s">
        <v>3728</v>
      </c>
      <c r="F19" s="537"/>
      <c r="G19" s="537"/>
      <c r="H19" s="536"/>
      <c r="I19" s="536"/>
      <c r="J19" s="537"/>
      <c r="K19" s="536"/>
      <c r="L19" s="537"/>
      <c r="M19" s="537"/>
      <c r="N19" s="537"/>
      <c r="O19" s="537"/>
      <c r="P19" s="536"/>
      <c r="Q19" s="537"/>
      <c r="R19" s="537"/>
      <c r="S19" s="537"/>
      <c r="T19" s="537"/>
      <c r="U19" s="537"/>
      <c r="V19" s="536"/>
      <c r="W19" s="536"/>
      <c r="X19" s="536"/>
      <c r="Y19" s="536"/>
      <c r="Z19" s="536"/>
      <c r="AA19" s="536"/>
      <c r="AB19" s="536"/>
      <c r="AC19" s="536"/>
      <c r="AD19" s="536"/>
      <c r="AE19" s="536"/>
      <c r="AF19" s="536"/>
      <c r="AG19" s="536"/>
      <c r="AH19" s="536"/>
      <c r="AI19" s="536"/>
    </row>
    <row r="20">
      <c r="B20" s="640" t="s">
        <v>4342</v>
      </c>
      <c r="C20" s="542" t="s">
        <v>4345</v>
      </c>
      <c r="D20" s="641" t="s">
        <v>4346</v>
      </c>
      <c r="E20" s="642"/>
      <c r="F20" s="537"/>
      <c r="G20" s="537"/>
      <c r="H20" s="536"/>
      <c r="I20" s="536"/>
      <c r="J20" s="537"/>
      <c r="K20" s="536"/>
      <c r="L20" s="537"/>
      <c r="M20" s="537"/>
      <c r="N20" s="537"/>
      <c r="O20" s="537"/>
      <c r="P20" s="536"/>
      <c r="Q20" s="537"/>
      <c r="R20" s="537"/>
      <c r="S20" s="537"/>
      <c r="T20" s="537"/>
      <c r="U20" s="537"/>
      <c r="V20" s="536"/>
      <c r="W20" s="536"/>
      <c r="X20" s="536"/>
      <c r="Y20" s="536"/>
      <c r="Z20" s="536"/>
      <c r="AA20" s="536"/>
      <c r="AB20" s="536"/>
      <c r="AC20" s="536"/>
      <c r="AD20" s="536"/>
      <c r="AE20" s="536"/>
      <c r="AF20" s="536"/>
      <c r="AG20" s="536"/>
      <c r="AH20" s="536"/>
      <c r="AI20" s="536"/>
    </row>
    <row r="21">
      <c r="A21" s="643" t="s">
        <v>1390</v>
      </c>
      <c r="B21" s="644" t="s">
        <v>1438</v>
      </c>
      <c r="C21" s="533" t="s">
        <v>4347</v>
      </c>
      <c r="D21" s="645" t="s">
        <v>1631</v>
      </c>
      <c r="E21" s="646" t="s">
        <v>4348</v>
      </c>
      <c r="F21" s="528"/>
      <c r="G21" s="528"/>
      <c r="H21" s="527"/>
      <c r="I21" s="527"/>
      <c r="J21" s="528"/>
      <c r="K21" s="527"/>
      <c r="L21" s="528"/>
      <c r="M21" s="528"/>
      <c r="N21" s="528"/>
      <c r="O21" s="528"/>
      <c r="P21" s="527"/>
      <c r="Q21" s="528"/>
      <c r="R21" s="528"/>
      <c r="S21" s="528"/>
      <c r="T21" s="528"/>
      <c r="U21" s="528"/>
      <c r="V21" s="527"/>
      <c r="W21" s="527"/>
      <c r="X21" s="527"/>
      <c r="Y21" s="527"/>
      <c r="Z21" s="527"/>
      <c r="AA21" s="527"/>
      <c r="AB21" s="527"/>
      <c r="AC21" s="527"/>
      <c r="AD21" s="527"/>
      <c r="AE21" s="527"/>
      <c r="AF21" s="527"/>
      <c r="AG21" s="527"/>
      <c r="AH21" s="527"/>
      <c r="AI21" s="536"/>
    </row>
    <row r="22">
      <c r="B22" s="644" t="s">
        <v>4349</v>
      </c>
      <c r="C22" s="533" t="s">
        <v>4350</v>
      </c>
      <c r="D22" s="645" t="s">
        <v>1631</v>
      </c>
      <c r="E22" s="646"/>
      <c r="F22" s="528"/>
      <c r="G22" s="528"/>
      <c r="H22" s="527"/>
      <c r="I22" s="527"/>
      <c r="J22" s="528"/>
      <c r="K22" s="527"/>
      <c r="L22" s="528"/>
      <c r="M22" s="528"/>
      <c r="N22" s="528"/>
      <c r="O22" s="528"/>
      <c r="P22" s="527"/>
      <c r="Q22" s="528"/>
      <c r="R22" s="528"/>
      <c r="S22" s="528"/>
      <c r="T22" s="528"/>
      <c r="U22" s="528"/>
      <c r="V22" s="527"/>
      <c r="W22" s="527"/>
      <c r="X22" s="527"/>
      <c r="Y22" s="527"/>
      <c r="Z22" s="527"/>
      <c r="AA22" s="527"/>
      <c r="AB22" s="527"/>
      <c r="AC22" s="527"/>
      <c r="AD22" s="527"/>
      <c r="AE22" s="527"/>
      <c r="AF22" s="527"/>
      <c r="AG22" s="527"/>
      <c r="AH22" s="527"/>
      <c r="AI22" s="536"/>
    </row>
    <row r="23">
      <c r="B23" s="644" t="s">
        <v>1433</v>
      </c>
      <c r="C23" s="533" t="s">
        <v>4351</v>
      </c>
      <c r="D23" s="645" t="s">
        <v>3771</v>
      </c>
      <c r="E23" s="646"/>
      <c r="F23" s="528" t="s">
        <v>4494</v>
      </c>
      <c r="G23" s="528"/>
      <c r="H23" s="527"/>
      <c r="I23" s="527"/>
      <c r="J23" s="528"/>
      <c r="K23" s="527"/>
      <c r="L23" s="528"/>
      <c r="M23" s="528"/>
      <c r="N23" s="528"/>
      <c r="O23" s="528"/>
      <c r="P23" s="527"/>
      <c r="Q23" s="528"/>
      <c r="R23" s="528"/>
      <c r="S23" s="528"/>
      <c r="T23" s="528"/>
      <c r="U23" s="528"/>
      <c r="V23" s="527"/>
      <c r="W23" s="527"/>
      <c r="X23" s="527"/>
      <c r="Y23" s="527"/>
      <c r="Z23" s="527"/>
      <c r="AA23" s="527"/>
      <c r="AB23" s="527"/>
      <c r="AC23" s="527"/>
      <c r="AD23" s="527"/>
      <c r="AE23" s="527"/>
      <c r="AF23" s="527"/>
      <c r="AG23" s="527"/>
      <c r="AH23" s="527"/>
      <c r="AI23" s="536"/>
    </row>
    <row r="24">
      <c r="B24" s="644" t="s">
        <v>4352</v>
      </c>
      <c r="C24" s="533" t="s">
        <v>4353</v>
      </c>
      <c r="D24" s="645" t="s">
        <v>595</v>
      </c>
      <c r="E24" s="646"/>
      <c r="F24" s="528" t="s">
        <v>4495</v>
      </c>
      <c r="G24" s="528"/>
      <c r="H24" s="527"/>
      <c r="I24" s="527"/>
      <c r="J24" s="528"/>
      <c r="K24" s="527"/>
      <c r="L24" s="528"/>
      <c r="M24" s="528"/>
      <c r="N24" s="528"/>
      <c r="O24" s="528"/>
      <c r="P24" s="527"/>
      <c r="Q24" s="528"/>
      <c r="R24" s="528"/>
      <c r="S24" s="528"/>
      <c r="T24" s="528"/>
      <c r="U24" s="528"/>
      <c r="V24" s="527"/>
      <c r="W24" s="527"/>
      <c r="X24" s="527"/>
      <c r="Y24" s="527"/>
      <c r="Z24" s="527"/>
      <c r="AA24" s="527"/>
      <c r="AB24" s="527"/>
      <c r="AC24" s="527"/>
      <c r="AD24" s="527"/>
      <c r="AE24" s="527"/>
      <c r="AF24" s="527"/>
      <c r="AG24" s="527"/>
      <c r="AH24" s="527"/>
      <c r="AI24" s="536"/>
    </row>
    <row r="25">
      <c r="B25" s="644" t="s">
        <v>1422</v>
      </c>
      <c r="C25" s="533" t="s">
        <v>4354</v>
      </c>
      <c r="D25" s="645" t="s">
        <v>3868</v>
      </c>
      <c r="E25" s="646" t="s">
        <v>4348</v>
      </c>
      <c r="F25" s="528"/>
      <c r="G25" s="528"/>
      <c r="H25" s="527"/>
      <c r="I25" s="527"/>
      <c r="J25" s="528"/>
      <c r="K25" s="527"/>
      <c r="L25" s="528"/>
      <c r="M25" s="528"/>
      <c r="N25" s="528"/>
      <c r="O25" s="528"/>
      <c r="P25" s="527"/>
      <c r="Q25" s="528"/>
      <c r="R25" s="528"/>
      <c r="S25" s="528"/>
      <c r="T25" s="528"/>
      <c r="U25" s="528"/>
      <c r="V25" s="527"/>
      <c r="W25" s="527"/>
      <c r="X25" s="527"/>
      <c r="Y25" s="527"/>
      <c r="Z25" s="527"/>
      <c r="AA25" s="527"/>
      <c r="AB25" s="527"/>
      <c r="AC25" s="527"/>
      <c r="AD25" s="527"/>
      <c r="AE25" s="527"/>
      <c r="AF25" s="527"/>
      <c r="AG25" s="527"/>
      <c r="AH25" s="527"/>
      <c r="AI25" s="536"/>
    </row>
    <row r="26">
      <c r="B26" s="644" t="s">
        <v>1417</v>
      </c>
      <c r="C26" s="533" t="s">
        <v>4355</v>
      </c>
      <c r="D26" s="645" t="s">
        <v>173</v>
      </c>
      <c r="E26" s="646"/>
      <c r="F26" s="528" t="s">
        <v>4496</v>
      </c>
      <c r="G26" s="528"/>
      <c r="H26" s="527"/>
      <c r="I26" s="527"/>
      <c r="J26" s="528"/>
      <c r="K26" s="527"/>
      <c r="L26" s="528"/>
      <c r="M26" s="528"/>
      <c r="N26" s="528"/>
      <c r="O26" s="528"/>
      <c r="P26" s="527"/>
      <c r="Q26" s="528"/>
      <c r="R26" s="528"/>
      <c r="S26" s="528"/>
      <c r="T26" s="528"/>
      <c r="U26" s="528"/>
      <c r="V26" s="527"/>
      <c r="W26" s="527"/>
      <c r="X26" s="527"/>
      <c r="Y26" s="527"/>
      <c r="Z26" s="527"/>
      <c r="AA26" s="527"/>
      <c r="AB26" s="527"/>
      <c r="AC26" s="527"/>
      <c r="AD26" s="527"/>
      <c r="AE26" s="527"/>
      <c r="AF26" s="527"/>
      <c r="AG26" s="527"/>
      <c r="AH26" s="527"/>
      <c r="AI26" s="536"/>
    </row>
    <row r="27">
      <c r="B27" s="644" t="s">
        <v>1410</v>
      </c>
      <c r="C27" s="533" t="s">
        <v>4356</v>
      </c>
      <c r="D27" s="645" t="s">
        <v>4357</v>
      </c>
      <c r="E27" s="646" t="s">
        <v>4348</v>
      </c>
      <c r="F27" s="528"/>
      <c r="G27" s="528"/>
      <c r="H27" s="527"/>
      <c r="I27" s="527"/>
      <c r="J27" s="528"/>
      <c r="K27" s="527"/>
      <c r="L27" s="528"/>
      <c r="M27" s="528"/>
      <c r="N27" s="528"/>
      <c r="O27" s="528"/>
      <c r="P27" s="527"/>
      <c r="Q27" s="528"/>
      <c r="R27" s="528"/>
      <c r="S27" s="528"/>
      <c r="T27" s="528"/>
      <c r="U27" s="528"/>
      <c r="V27" s="527"/>
      <c r="W27" s="527"/>
      <c r="X27" s="527"/>
      <c r="Y27" s="527"/>
      <c r="Z27" s="527"/>
      <c r="AA27" s="527"/>
      <c r="AB27" s="527"/>
      <c r="AC27" s="527"/>
      <c r="AD27" s="527"/>
      <c r="AE27" s="527"/>
      <c r="AF27" s="527"/>
      <c r="AG27" s="527"/>
      <c r="AH27" s="527"/>
      <c r="AI27" s="536"/>
    </row>
    <row r="28">
      <c r="B28" s="644" t="s">
        <v>1405</v>
      </c>
      <c r="C28" s="533" t="s">
        <v>4358</v>
      </c>
      <c r="D28" s="645" t="s">
        <v>4359</v>
      </c>
      <c r="E28" s="646" t="s">
        <v>4348</v>
      </c>
      <c r="F28" s="528"/>
      <c r="G28" s="528"/>
      <c r="H28" s="527"/>
      <c r="I28" s="527"/>
      <c r="J28" s="528"/>
      <c r="K28" s="527"/>
      <c r="L28" s="528"/>
      <c r="M28" s="528"/>
      <c r="N28" s="528"/>
      <c r="O28" s="528"/>
      <c r="P28" s="527"/>
      <c r="Q28" s="528"/>
      <c r="R28" s="528"/>
      <c r="S28" s="528"/>
      <c r="T28" s="528"/>
      <c r="U28" s="528"/>
      <c r="V28" s="527"/>
      <c r="W28" s="527"/>
      <c r="X28" s="527"/>
      <c r="Y28" s="527"/>
      <c r="Z28" s="527"/>
      <c r="AA28" s="527"/>
      <c r="AB28" s="527"/>
      <c r="AC28" s="527"/>
      <c r="AD28" s="527"/>
      <c r="AE28" s="527"/>
      <c r="AF28" s="527"/>
      <c r="AG28" s="527"/>
      <c r="AH28" s="527"/>
      <c r="AI28" s="536"/>
    </row>
    <row r="29">
      <c r="B29" s="644" t="s">
        <v>1401</v>
      </c>
      <c r="C29" s="533" t="s">
        <v>4360</v>
      </c>
      <c r="D29" s="645" t="s">
        <v>4361</v>
      </c>
      <c r="E29" s="646" t="s">
        <v>4348</v>
      </c>
      <c r="F29" s="528"/>
      <c r="G29" s="528"/>
      <c r="H29" s="527"/>
      <c r="I29" s="527"/>
      <c r="J29" s="528"/>
      <c r="K29" s="527"/>
      <c r="L29" s="528"/>
      <c r="M29" s="528"/>
      <c r="N29" s="528"/>
      <c r="O29" s="528"/>
      <c r="P29" s="527"/>
      <c r="Q29" s="528"/>
      <c r="R29" s="528"/>
      <c r="S29" s="528"/>
      <c r="T29" s="528"/>
      <c r="U29" s="528"/>
      <c r="V29" s="527"/>
      <c r="W29" s="527"/>
      <c r="X29" s="527"/>
      <c r="Y29" s="527"/>
      <c r="Z29" s="527"/>
      <c r="AA29" s="527"/>
      <c r="AB29" s="527"/>
      <c r="AC29" s="527"/>
      <c r="AD29" s="527"/>
      <c r="AE29" s="527"/>
      <c r="AF29" s="527"/>
      <c r="AG29" s="527"/>
      <c r="AH29" s="527"/>
      <c r="AI29" s="536"/>
    </row>
    <row r="30">
      <c r="B30" s="644" t="s">
        <v>1396</v>
      </c>
      <c r="C30" s="533" t="s">
        <v>4362</v>
      </c>
      <c r="D30" s="645" t="s">
        <v>4363</v>
      </c>
      <c r="E30" s="646" t="s">
        <v>4348</v>
      </c>
      <c r="F30" s="528"/>
      <c r="G30" s="528"/>
      <c r="H30" s="527"/>
      <c r="I30" s="527"/>
      <c r="J30" s="528"/>
      <c r="K30" s="527"/>
      <c r="L30" s="528"/>
      <c r="M30" s="528"/>
      <c r="N30" s="528"/>
      <c r="O30" s="528"/>
      <c r="P30" s="527"/>
      <c r="Q30" s="528"/>
      <c r="R30" s="528"/>
      <c r="S30" s="528"/>
      <c r="T30" s="528"/>
      <c r="U30" s="528"/>
      <c r="V30" s="527"/>
      <c r="W30" s="527"/>
      <c r="X30" s="527"/>
      <c r="Y30" s="527"/>
      <c r="Z30" s="527"/>
      <c r="AA30" s="527"/>
      <c r="AB30" s="527"/>
      <c r="AC30" s="527"/>
      <c r="AD30" s="527"/>
      <c r="AE30" s="527"/>
      <c r="AF30" s="527"/>
      <c r="AG30" s="527"/>
      <c r="AH30" s="527"/>
      <c r="AI30" s="536"/>
    </row>
    <row r="31">
      <c r="B31" s="644" t="s">
        <v>1391</v>
      </c>
      <c r="C31" s="533" t="s">
        <v>4364</v>
      </c>
      <c r="D31" s="645" t="s">
        <v>123</v>
      </c>
      <c r="E31" s="646"/>
      <c r="F31" s="528" t="s">
        <v>4496</v>
      </c>
      <c r="G31" s="528"/>
      <c r="H31" s="527"/>
      <c r="I31" s="527"/>
      <c r="J31" s="528"/>
      <c r="K31" s="527"/>
      <c r="L31" s="528"/>
      <c r="M31" s="528"/>
      <c r="N31" s="528"/>
      <c r="O31" s="528"/>
      <c r="P31" s="527"/>
      <c r="Q31" s="528"/>
      <c r="R31" s="528"/>
      <c r="S31" s="528"/>
      <c r="T31" s="528"/>
      <c r="U31" s="528"/>
      <c r="V31" s="527"/>
      <c r="W31" s="527"/>
      <c r="X31" s="527"/>
      <c r="Y31" s="527"/>
      <c r="Z31" s="527"/>
      <c r="AA31" s="527"/>
      <c r="AB31" s="527"/>
      <c r="AC31" s="527"/>
      <c r="AD31" s="527"/>
      <c r="AE31" s="527"/>
      <c r="AF31" s="527"/>
      <c r="AG31" s="527"/>
      <c r="AH31" s="527"/>
      <c r="AI31" s="536"/>
    </row>
    <row r="32">
      <c r="A32" s="639" t="s">
        <v>1637</v>
      </c>
      <c r="B32" s="640" t="s">
        <v>1835</v>
      </c>
      <c r="C32" s="542" t="s">
        <v>4365</v>
      </c>
      <c r="D32" s="641" t="s">
        <v>4366</v>
      </c>
      <c r="E32" s="642" t="s">
        <v>1263</v>
      </c>
      <c r="F32" s="537" t="s">
        <v>4497</v>
      </c>
      <c r="G32" s="537"/>
      <c r="H32" s="536"/>
      <c r="I32" s="536"/>
      <c r="J32" s="537"/>
      <c r="K32" s="536"/>
      <c r="L32" s="537"/>
      <c r="M32" s="537"/>
      <c r="N32" s="537"/>
      <c r="O32" s="537"/>
      <c r="P32" s="536"/>
      <c r="Q32" s="537"/>
      <c r="R32" s="537"/>
      <c r="S32" s="537"/>
      <c r="T32" s="537"/>
      <c r="U32" s="537"/>
      <c r="V32" s="536"/>
      <c r="W32" s="536"/>
      <c r="X32" s="536"/>
      <c r="Y32" s="536"/>
      <c r="Z32" s="536"/>
      <c r="AA32" s="536"/>
      <c r="AB32" s="536"/>
      <c r="AC32" s="536"/>
      <c r="AD32" s="536"/>
      <c r="AE32" s="536"/>
      <c r="AF32" s="536"/>
      <c r="AG32" s="536"/>
      <c r="AH32" s="536"/>
      <c r="AI32" s="536"/>
    </row>
    <row r="33">
      <c r="B33" s="640" t="s">
        <v>1830</v>
      </c>
      <c r="C33" s="542" t="s">
        <v>4367</v>
      </c>
      <c r="D33" s="641" t="s">
        <v>4368</v>
      </c>
      <c r="E33" s="642" t="s">
        <v>1263</v>
      </c>
      <c r="F33" s="537" t="s">
        <v>4497</v>
      </c>
      <c r="G33" s="537"/>
      <c r="H33" s="536"/>
      <c r="I33" s="536"/>
      <c r="J33" s="537"/>
      <c r="K33" s="536"/>
      <c r="L33" s="537"/>
      <c r="M33" s="537"/>
      <c r="N33" s="537"/>
      <c r="O33" s="537"/>
      <c r="P33" s="536"/>
      <c r="Q33" s="537"/>
      <c r="R33" s="537"/>
      <c r="S33" s="537"/>
      <c r="T33" s="537"/>
      <c r="U33" s="537"/>
      <c r="V33" s="536"/>
      <c r="W33" s="536"/>
      <c r="X33" s="536"/>
      <c r="Y33" s="536"/>
      <c r="Z33" s="536"/>
      <c r="AA33" s="536"/>
      <c r="AB33" s="536"/>
      <c r="AC33" s="536"/>
      <c r="AD33" s="536"/>
      <c r="AE33" s="536"/>
      <c r="AF33" s="536"/>
      <c r="AG33" s="536"/>
      <c r="AH33" s="536"/>
      <c r="AI33" s="536"/>
    </row>
    <row r="34">
      <c r="B34" s="640" t="s">
        <v>1825</v>
      </c>
      <c r="C34" s="542" t="s">
        <v>4369</v>
      </c>
      <c r="D34" s="641" t="s">
        <v>4370</v>
      </c>
      <c r="E34" s="642" t="s">
        <v>1263</v>
      </c>
      <c r="F34" s="537" t="s">
        <v>4497</v>
      </c>
      <c r="G34" s="537"/>
      <c r="H34" s="536"/>
      <c r="I34" s="536"/>
      <c r="J34" s="537"/>
      <c r="K34" s="536"/>
      <c r="L34" s="537"/>
      <c r="M34" s="537"/>
      <c r="N34" s="537"/>
      <c r="O34" s="537"/>
      <c r="P34" s="536"/>
      <c r="Q34" s="537"/>
      <c r="R34" s="537"/>
      <c r="S34" s="537"/>
      <c r="T34" s="537"/>
      <c r="U34" s="537"/>
      <c r="V34" s="536"/>
      <c r="W34" s="536"/>
      <c r="X34" s="536"/>
      <c r="Y34" s="536"/>
      <c r="Z34" s="536"/>
      <c r="AA34" s="536"/>
      <c r="AB34" s="536"/>
      <c r="AC34" s="536"/>
      <c r="AD34" s="536"/>
      <c r="AE34" s="536"/>
      <c r="AF34" s="536"/>
      <c r="AG34" s="536"/>
      <c r="AH34" s="536"/>
      <c r="AI34" s="536"/>
    </row>
    <row r="35">
      <c r="B35" s="640" t="s">
        <v>1820</v>
      </c>
      <c r="C35" s="542" t="s">
        <v>4371</v>
      </c>
      <c r="D35" s="641" t="s">
        <v>3805</v>
      </c>
      <c r="E35" s="647"/>
      <c r="F35" s="537" t="s">
        <v>4260</v>
      </c>
      <c r="G35" s="537"/>
      <c r="H35" s="536"/>
      <c r="I35" s="536"/>
      <c r="J35" s="537"/>
      <c r="K35" s="536"/>
      <c r="L35" s="537"/>
      <c r="M35" s="537"/>
      <c r="N35" s="537"/>
      <c r="O35" s="537"/>
      <c r="P35" s="536"/>
      <c r="Q35" s="537"/>
      <c r="R35" s="537"/>
      <c r="S35" s="537"/>
      <c r="T35" s="537"/>
      <c r="U35" s="537"/>
      <c r="V35" s="536"/>
      <c r="W35" s="536"/>
      <c r="X35" s="536"/>
      <c r="Y35" s="536"/>
      <c r="Z35" s="536"/>
      <c r="AA35" s="536"/>
      <c r="AB35" s="536"/>
      <c r="AC35" s="536"/>
      <c r="AD35" s="536"/>
      <c r="AE35" s="536"/>
      <c r="AF35" s="536"/>
      <c r="AG35" s="536"/>
      <c r="AH35" s="536"/>
      <c r="AI35" s="536"/>
    </row>
    <row r="36">
      <c r="B36" s="640" t="s">
        <v>1815</v>
      </c>
      <c r="C36" s="542" t="s">
        <v>4372</v>
      </c>
      <c r="D36" s="641" t="s">
        <v>4373</v>
      </c>
      <c r="E36" s="647"/>
      <c r="F36" s="537" t="s">
        <v>4497</v>
      </c>
      <c r="G36" s="537"/>
      <c r="H36" s="536"/>
      <c r="I36" s="536"/>
      <c r="J36" s="537"/>
      <c r="K36" s="536"/>
      <c r="L36" s="537"/>
      <c r="M36" s="537"/>
      <c r="N36" s="537"/>
      <c r="O36" s="537"/>
      <c r="P36" s="536"/>
      <c r="Q36" s="537"/>
      <c r="R36" s="537"/>
      <c r="S36" s="537"/>
      <c r="T36" s="537"/>
      <c r="U36" s="537"/>
      <c r="V36" s="536"/>
      <c r="W36" s="536"/>
      <c r="X36" s="536"/>
      <c r="Y36" s="536"/>
      <c r="Z36" s="536"/>
      <c r="AA36" s="536"/>
      <c r="AB36" s="536"/>
      <c r="AC36" s="536"/>
      <c r="AD36" s="536"/>
      <c r="AE36" s="536"/>
      <c r="AF36" s="536"/>
      <c r="AG36" s="536"/>
      <c r="AH36" s="536"/>
      <c r="AI36" s="536"/>
    </row>
    <row r="37">
      <c r="B37" s="640" t="s">
        <v>1810</v>
      </c>
      <c r="C37" s="542" t="s">
        <v>4374</v>
      </c>
      <c r="D37" s="641" t="s">
        <v>4375</v>
      </c>
      <c r="E37" s="647"/>
      <c r="F37" s="537" t="s">
        <v>4497</v>
      </c>
      <c r="G37" s="537"/>
      <c r="H37" s="536"/>
      <c r="I37" s="536"/>
      <c r="J37" s="537"/>
      <c r="K37" s="536"/>
      <c r="L37" s="537"/>
      <c r="M37" s="537"/>
      <c r="N37" s="537"/>
      <c r="O37" s="537"/>
      <c r="P37" s="536"/>
      <c r="Q37" s="537"/>
      <c r="R37" s="537"/>
      <c r="S37" s="537"/>
      <c r="T37" s="537"/>
      <c r="U37" s="537"/>
      <c r="V37" s="536"/>
      <c r="W37" s="536"/>
      <c r="X37" s="536"/>
      <c r="Y37" s="536"/>
      <c r="Z37" s="536"/>
      <c r="AA37" s="536"/>
      <c r="AB37" s="536"/>
      <c r="AC37" s="536"/>
      <c r="AD37" s="536"/>
      <c r="AE37" s="536"/>
      <c r="AF37" s="536"/>
      <c r="AG37" s="536"/>
      <c r="AH37" s="536"/>
      <c r="AI37" s="536"/>
    </row>
    <row r="38">
      <c r="B38" s="640" t="s">
        <v>1809</v>
      </c>
      <c r="C38" s="537"/>
      <c r="D38" s="641" t="s">
        <v>4376</v>
      </c>
      <c r="E38" s="642" t="s">
        <v>4317</v>
      </c>
      <c r="F38" s="537" t="s">
        <v>4486</v>
      </c>
      <c r="G38" s="537"/>
      <c r="H38" s="536"/>
      <c r="I38" s="536"/>
      <c r="J38" s="537"/>
      <c r="K38" s="536"/>
      <c r="L38" s="537"/>
      <c r="M38" s="537"/>
      <c r="N38" s="537"/>
      <c r="O38" s="537"/>
      <c r="P38" s="536"/>
      <c r="Q38" s="537"/>
      <c r="R38" s="537"/>
      <c r="S38" s="537"/>
      <c r="T38" s="537"/>
      <c r="U38" s="537"/>
      <c r="V38" s="536"/>
      <c r="W38" s="536"/>
      <c r="X38" s="536"/>
      <c r="Y38" s="536"/>
      <c r="Z38" s="536"/>
      <c r="AA38" s="536"/>
      <c r="AB38" s="536"/>
      <c r="AC38" s="536"/>
      <c r="AD38" s="536"/>
      <c r="AE38" s="536"/>
      <c r="AF38" s="536"/>
      <c r="AG38" s="536"/>
      <c r="AH38" s="536"/>
      <c r="AI38" s="536"/>
    </row>
    <row r="39">
      <c r="B39" s="640" t="s">
        <v>1804</v>
      </c>
      <c r="C39" s="542" t="s">
        <v>4377</v>
      </c>
      <c r="D39" s="641" t="s">
        <v>4378</v>
      </c>
      <c r="E39" s="642" t="s">
        <v>3728</v>
      </c>
      <c r="F39" s="537"/>
      <c r="G39" s="537"/>
      <c r="H39" s="536"/>
      <c r="I39" s="536"/>
      <c r="J39" s="537"/>
      <c r="K39" s="536"/>
      <c r="L39" s="537"/>
      <c r="M39" s="537"/>
      <c r="N39" s="537"/>
      <c r="O39" s="537"/>
      <c r="P39" s="536"/>
      <c r="Q39" s="537"/>
      <c r="R39" s="537"/>
      <c r="S39" s="537"/>
      <c r="T39" s="537"/>
      <c r="U39" s="537"/>
      <c r="V39" s="536"/>
      <c r="W39" s="536"/>
      <c r="X39" s="536"/>
      <c r="Y39" s="536"/>
      <c r="Z39" s="536"/>
      <c r="AA39" s="536"/>
      <c r="AB39" s="536"/>
      <c r="AC39" s="536"/>
      <c r="AD39" s="536"/>
      <c r="AE39" s="536"/>
      <c r="AF39" s="536"/>
      <c r="AG39" s="536"/>
      <c r="AH39" s="536"/>
      <c r="AI39" s="536"/>
    </row>
    <row r="40">
      <c r="B40" s="640" t="s">
        <v>1799</v>
      </c>
      <c r="C40" s="542" t="s">
        <v>4379</v>
      </c>
      <c r="D40" s="641" t="s">
        <v>4316</v>
      </c>
      <c r="E40" s="647"/>
      <c r="F40" s="537" t="s">
        <v>4260</v>
      </c>
      <c r="G40" s="537"/>
      <c r="H40" s="536"/>
      <c r="I40" s="536"/>
      <c r="J40" s="537"/>
      <c r="K40" s="536"/>
      <c r="L40" s="537"/>
      <c r="M40" s="537"/>
      <c r="N40" s="537"/>
      <c r="O40" s="537"/>
      <c r="P40" s="536"/>
      <c r="Q40" s="537"/>
      <c r="R40" s="537"/>
      <c r="S40" s="537"/>
      <c r="T40" s="537"/>
      <c r="U40" s="537"/>
      <c r="V40" s="536"/>
      <c r="W40" s="536"/>
      <c r="X40" s="536"/>
      <c r="Y40" s="536"/>
      <c r="Z40" s="536"/>
      <c r="AA40" s="536"/>
      <c r="AB40" s="536"/>
      <c r="AC40" s="536"/>
      <c r="AD40" s="536"/>
      <c r="AE40" s="536"/>
      <c r="AF40" s="536"/>
      <c r="AG40" s="536"/>
      <c r="AH40" s="536"/>
      <c r="AI40" s="536"/>
    </row>
    <row r="41">
      <c r="B41" s="640" t="s">
        <v>1794</v>
      </c>
      <c r="C41" s="542" t="s">
        <v>4380</v>
      </c>
      <c r="D41" s="641" t="s">
        <v>4318</v>
      </c>
      <c r="E41" s="647"/>
      <c r="F41" s="537" t="s">
        <v>4260</v>
      </c>
      <c r="G41" s="537"/>
      <c r="H41" s="536"/>
      <c r="I41" s="536"/>
      <c r="J41" s="537"/>
      <c r="K41" s="536"/>
      <c r="L41" s="537"/>
      <c r="M41" s="537"/>
      <c r="N41" s="537"/>
      <c r="O41" s="537"/>
      <c r="P41" s="536"/>
      <c r="Q41" s="537"/>
      <c r="R41" s="537"/>
      <c r="S41" s="537"/>
      <c r="T41" s="537"/>
      <c r="U41" s="537"/>
      <c r="V41" s="536"/>
      <c r="W41" s="536"/>
      <c r="X41" s="536"/>
      <c r="Y41" s="536"/>
      <c r="Z41" s="536"/>
      <c r="AA41" s="536"/>
      <c r="AB41" s="536"/>
      <c r="AC41" s="536"/>
      <c r="AD41" s="536"/>
      <c r="AE41" s="536"/>
      <c r="AF41" s="536"/>
      <c r="AG41" s="536"/>
      <c r="AH41" s="536"/>
      <c r="AI41" s="536"/>
    </row>
    <row r="42">
      <c r="B42" s="640" t="s">
        <v>1793</v>
      </c>
      <c r="C42" s="537"/>
      <c r="D42" s="641" t="s">
        <v>4381</v>
      </c>
      <c r="E42" s="642" t="s">
        <v>4317</v>
      </c>
      <c r="F42" s="537" t="s">
        <v>4486</v>
      </c>
      <c r="G42" s="537"/>
      <c r="H42" s="536"/>
      <c r="I42" s="536"/>
      <c r="J42" s="537"/>
      <c r="K42" s="536"/>
      <c r="L42" s="537"/>
      <c r="M42" s="537"/>
      <c r="N42" s="537"/>
      <c r="O42" s="537"/>
      <c r="P42" s="536"/>
      <c r="Q42" s="537"/>
      <c r="R42" s="537"/>
      <c r="S42" s="537"/>
      <c r="T42" s="537"/>
      <c r="U42" s="537"/>
      <c r="V42" s="536"/>
      <c r="W42" s="536"/>
      <c r="X42" s="536"/>
      <c r="Y42" s="536"/>
      <c r="Z42" s="536"/>
      <c r="AA42" s="536"/>
      <c r="AB42" s="536"/>
      <c r="AC42" s="536"/>
      <c r="AD42" s="536"/>
      <c r="AE42" s="536"/>
      <c r="AF42" s="536"/>
      <c r="AG42" s="536"/>
      <c r="AH42" s="536"/>
      <c r="AI42" s="536"/>
    </row>
    <row r="43">
      <c r="B43" s="640" t="s">
        <v>1788</v>
      </c>
      <c r="C43" s="542" t="s">
        <v>4382</v>
      </c>
      <c r="D43" s="641" t="s">
        <v>4383</v>
      </c>
      <c r="E43" s="642" t="s">
        <v>3728</v>
      </c>
      <c r="F43" s="537"/>
      <c r="G43" s="537"/>
      <c r="H43" s="536"/>
      <c r="I43" s="536"/>
      <c r="J43" s="537"/>
      <c r="K43" s="536"/>
      <c r="L43" s="537"/>
      <c r="M43" s="537"/>
      <c r="N43" s="537"/>
      <c r="O43" s="537"/>
      <c r="P43" s="536"/>
      <c r="Q43" s="537"/>
      <c r="R43" s="537"/>
      <c r="S43" s="537"/>
      <c r="T43" s="537"/>
      <c r="U43" s="537"/>
      <c r="V43" s="536"/>
      <c r="W43" s="536"/>
      <c r="X43" s="536"/>
      <c r="Y43" s="536"/>
      <c r="Z43" s="536"/>
      <c r="AA43" s="536"/>
      <c r="AB43" s="536"/>
      <c r="AC43" s="536"/>
      <c r="AD43" s="536"/>
      <c r="AE43" s="536"/>
      <c r="AF43" s="536"/>
      <c r="AG43" s="536"/>
      <c r="AH43" s="536"/>
      <c r="AI43" s="536"/>
    </row>
    <row r="44">
      <c r="B44" s="640" t="s">
        <v>1783</v>
      </c>
      <c r="C44" s="542" t="s">
        <v>4384</v>
      </c>
      <c r="D44" s="641" t="s">
        <v>3825</v>
      </c>
      <c r="E44" s="647"/>
      <c r="F44" s="537" t="s">
        <v>4260</v>
      </c>
      <c r="G44" s="537"/>
      <c r="H44" s="536"/>
      <c r="I44" s="536"/>
      <c r="J44" s="537"/>
      <c r="K44" s="536"/>
      <c r="L44" s="537"/>
      <c r="M44" s="537"/>
      <c r="N44" s="537"/>
      <c r="O44" s="537"/>
      <c r="P44" s="536"/>
      <c r="Q44" s="537"/>
      <c r="R44" s="537"/>
      <c r="S44" s="537"/>
      <c r="T44" s="537"/>
      <c r="U44" s="537"/>
      <c r="V44" s="536"/>
      <c r="W44" s="536"/>
      <c r="X44" s="536"/>
      <c r="Y44" s="536"/>
      <c r="Z44" s="536"/>
      <c r="AA44" s="536"/>
      <c r="AB44" s="536"/>
      <c r="AC44" s="536"/>
      <c r="AD44" s="536"/>
      <c r="AE44" s="536"/>
      <c r="AF44" s="536"/>
      <c r="AG44" s="536"/>
      <c r="AH44" s="536"/>
      <c r="AI44" s="536"/>
    </row>
    <row r="45">
      <c r="B45" s="640" t="s">
        <v>1777</v>
      </c>
      <c r="C45" s="542" t="s">
        <v>4385</v>
      </c>
      <c r="D45" s="641" t="s">
        <v>875</v>
      </c>
      <c r="E45" s="642" t="s">
        <v>4348</v>
      </c>
      <c r="F45" s="537"/>
      <c r="G45" s="537"/>
      <c r="H45" s="536"/>
      <c r="I45" s="536"/>
      <c r="J45" s="537"/>
      <c r="K45" s="536"/>
      <c r="L45" s="537"/>
      <c r="M45" s="537"/>
      <c r="N45" s="537"/>
      <c r="O45" s="537"/>
      <c r="P45" s="536"/>
      <c r="Q45" s="537"/>
      <c r="R45" s="537"/>
      <c r="S45" s="537"/>
      <c r="T45" s="537"/>
      <c r="U45" s="537"/>
      <c r="V45" s="536"/>
      <c r="W45" s="536"/>
      <c r="X45" s="536"/>
      <c r="Y45" s="536"/>
      <c r="Z45" s="536"/>
      <c r="AA45" s="536"/>
      <c r="AB45" s="536"/>
      <c r="AC45" s="536"/>
      <c r="AD45" s="536"/>
      <c r="AE45" s="536"/>
      <c r="AF45" s="536"/>
      <c r="AG45" s="536"/>
      <c r="AH45" s="536"/>
      <c r="AI45" s="536"/>
    </row>
    <row r="46">
      <c r="B46" s="640" t="s">
        <v>1772</v>
      </c>
      <c r="C46" s="542" t="s">
        <v>4386</v>
      </c>
      <c r="D46" s="641" t="s">
        <v>4387</v>
      </c>
      <c r="E46" s="642" t="s">
        <v>3728</v>
      </c>
      <c r="F46" s="537"/>
      <c r="G46" s="537"/>
      <c r="H46" s="536"/>
      <c r="I46" s="536"/>
      <c r="J46" s="537"/>
      <c r="K46" s="536"/>
      <c r="L46" s="537"/>
      <c r="M46" s="537"/>
      <c r="N46" s="537"/>
      <c r="O46" s="537"/>
      <c r="P46" s="536"/>
      <c r="Q46" s="537"/>
      <c r="R46" s="537"/>
      <c r="S46" s="537"/>
      <c r="T46" s="537"/>
      <c r="U46" s="537"/>
      <c r="V46" s="536"/>
      <c r="W46" s="536"/>
      <c r="X46" s="536"/>
      <c r="Y46" s="536"/>
      <c r="Z46" s="536"/>
      <c r="AA46" s="536"/>
      <c r="AB46" s="536"/>
      <c r="AC46" s="536"/>
      <c r="AD46" s="536"/>
      <c r="AE46" s="536"/>
      <c r="AF46" s="536"/>
      <c r="AG46" s="536"/>
      <c r="AH46" s="536"/>
      <c r="AI46" s="536"/>
    </row>
    <row r="47">
      <c r="B47" s="640" t="s">
        <v>1771</v>
      </c>
      <c r="C47" s="537"/>
      <c r="D47" s="641" t="s">
        <v>4388</v>
      </c>
      <c r="E47" s="642" t="s">
        <v>4317</v>
      </c>
      <c r="F47" s="537" t="s">
        <v>4486</v>
      </c>
      <c r="G47" s="537"/>
      <c r="H47" s="536"/>
      <c r="I47" s="536"/>
      <c r="J47" s="537"/>
      <c r="K47" s="536"/>
      <c r="L47" s="537"/>
      <c r="M47" s="537"/>
      <c r="N47" s="537"/>
      <c r="O47" s="537"/>
      <c r="P47" s="536"/>
      <c r="Q47" s="537"/>
      <c r="R47" s="537"/>
      <c r="S47" s="537"/>
      <c r="T47" s="537"/>
      <c r="U47" s="537"/>
      <c r="V47" s="536"/>
      <c r="W47" s="536"/>
      <c r="X47" s="536"/>
      <c r="Y47" s="536"/>
      <c r="Z47" s="536"/>
      <c r="AA47" s="536"/>
      <c r="AB47" s="536"/>
      <c r="AC47" s="536"/>
      <c r="AD47" s="536"/>
      <c r="AE47" s="536"/>
      <c r="AF47" s="536"/>
      <c r="AG47" s="536"/>
      <c r="AH47" s="536"/>
      <c r="AI47" s="536"/>
    </row>
    <row r="48">
      <c r="B48" s="640" t="s">
        <v>1766</v>
      </c>
      <c r="C48" s="542" t="s">
        <v>4389</v>
      </c>
      <c r="D48" s="641" t="s">
        <v>4390</v>
      </c>
      <c r="E48" s="642" t="s">
        <v>1263</v>
      </c>
      <c r="F48" s="537"/>
      <c r="G48" s="537"/>
      <c r="H48" s="536"/>
      <c r="I48" s="536"/>
      <c r="J48" s="537"/>
      <c r="K48" s="536"/>
      <c r="L48" s="537"/>
      <c r="M48" s="537"/>
      <c r="N48" s="537"/>
      <c r="O48" s="537"/>
      <c r="P48" s="536"/>
      <c r="Q48" s="537"/>
      <c r="R48" s="537"/>
      <c r="S48" s="537"/>
      <c r="T48" s="537"/>
      <c r="U48" s="537"/>
      <c r="V48" s="536"/>
      <c r="W48" s="536"/>
      <c r="X48" s="536"/>
      <c r="Y48" s="536"/>
      <c r="Z48" s="536"/>
      <c r="AA48" s="536"/>
      <c r="AB48" s="536"/>
      <c r="AC48" s="536"/>
      <c r="AD48" s="536"/>
      <c r="AE48" s="536"/>
      <c r="AF48" s="536"/>
      <c r="AG48" s="536"/>
      <c r="AH48" s="536"/>
      <c r="AI48" s="536"/>
    </row>
    <row r="49">
      <c r="B49" s="640" t="s">
        <v>1761</v>
      </c>
      <c r="C49" s="542" t="s">
        <v>4391</v>
      </c>
      <c r="D49" s="641" t="s">
        <v>4392</v>
      </c>
      <c r="E49" s="642" t="s">
        <v>4348</v>
      </c>
      <c r="F49" s="537"/>
      <c r="G49" s="537"/>
      <c r="H49" s="536"/>
      <c r="I49" s="536"/>
      <c r="J49" s="537"/>
      <c r="K49" s="536"/>
      <c r="L49" s="537"/>
      <c r="M49" s="537"/>
      <c r="N49" s="537"/>
      <c r="O49" s="537"/>
      <c r="P49" s="536"/>
      <c r="Q49" s="537"/>
      <c r="R49" s="537"/>
      <c r="S49" s="537"/>
      <c r="T49" s="537"/>
      <c r="U49" s="537"/>
      <c r="V49" s="536"/>
      <c r="W49" s="536"/>
      <c r="X49" s="536"/>
      <c r="Y49" s="536"/>
      <c r="Z49" s="536"/>
      <c r="AA49" s="536"/>
      <c r="AB49" s="536"/>
      <c r="AC49" s="536"/>
      <c r="AD49" s="536"/>
      <c r="AE49" s="536"/>
      <c r="AF49" s="536"/>
      <c r="AG49" s="536"/>
      <c r="AH49" s="536"/>
      <c r="AI49" s="536"/>
    </row>
    <row r="50">
      <c r="B50" s="640" t="s">
        <v>1755</v>
      </c>
      <c r="C50" s="542" t="s">
        <v>4393</v>
      </c>
      <c r="D50" s="641" t="s">
        <v>4394</v>
      </c>
      <c r="E50" s="642" t="s">
        <v>4498</v>
      </c>
      <c r="F50" s="537"/>
      <c r="G50" s="537"/>
      <c r="H50" s="536"/>
      <c r="I50" s="536"/>
      <c r="J50" s="537"/>
      <c r="K50" s="536"/>
      <c r="L50" s="537"/>
      <c r="M50" s="537"/>
      <c r="N50" s="537"/>
      <c r="O50" s="537"/>
      <c r="P50" s="536"/>
      <c r="Q50" s="537"/>
      <c r="R50" s="537"/>
      <c r="S50" s="537"/>
      <c r="T50" s="537"/>
      <c r="U50" s="537"/>
      <c r="V50" s="536"/>
      <c r="W50" s="536"/>
      <c r="X50" s="537"/>
      <c r="Y50" s="537" t="s">
        <v>4499</v>
      </c>
      <c r="Z50" s="536"/>
      <c r="AA50" s="536"/>
      <c r="AB50" s="536"/>
      <c r="AC50" s="536"/>
      <c r="AD50" s="536"/>
      <c r="AE50" s="536"/>
      <c r="AF50" s="536"/>
      <c r="AG50" s="536"/>
      <c r="AH50" s="536"/>
      <c r="AI50" s="536"/>
    </row>
    <row r="51">
      <c r="B51" s="640" t="s">
        <v>1750</v>
      </c>
      <c r="C51" s="542" t="s">
        <v>4395</v>
      </c>
      <c r="D51" s="641" t="s">
        <v>4396</v>
      </c>
      <c r="E51" s="647"/>
      <c r="F51" s="537" t="s">
        <v>4497</v>
      </c>
      <c r="G51" s="537"/>
      <c r="H51" s="536"/>
      <c r="I51" s="536"/>
      <c r="J51" s="537"/>
      <c r="K51" s="536"/>
      <c r="L51" s="537"/>
      <c r="M51" s="537"/>
      <c r="N51" s="537"/>
      <c r="O51" s="537"/>
      <c r="P51" s="536"/>
      <c r="Q51" s="537"/>
      <c r="R51" s="537"/>
      <c r="S51" s="537"/>
      <c r="T51" s="537"/>
      <c r="U51" s="537"/>
      <c r="V51" s="536"/>
      <c r="W51" s="536"/>
      <c r="X51" s="536"/>
      <c r="Y51" s="536"/>
      <c r="Z51" s="536"/>
      <c r="AA51" s="536"/>
      <c r="AB51" s="536"/>
      <c r="AC51" s="536"/>
      <c r="AD51" s="536"/>
      <c r="AE51" s="536"/>
      <c r="AF51" s="536"/>
      <c r="AG51" s="536"/>
      <c r="AH51" s="536"/>
      <c r="AI51" s="536"/>
    </row>
    <row r="52">
      <c r="B52" s="640" t="s">
        <v>1746</v>
      </c>
      <c r="C52" s="542" t="s">
        <v>4397</v>
      </c>
      <c r="D52" s="641" t="s">
        <v>4398</v>
      </c>
      <c r="E52" s="642" t="s">
        <v>3728</v>
      </c>
      <c r="F52" s="537"/>
      <c r="G52" s="537"/>
      <c r="H52" s="536"/>
      <c r="I52" s="536"/>
      <c r="J52" s="537"/>
      <c r="K52" s="536"/>
      <c r="L52" s="537"/>
      <c r="M52" s="537"/>
      <c r="N52" s="537"/>
      <c r="O52" s="537"/>
      <c r="P52" s="536"/>
      <c r="Q52" s="537"/>
      <c r="R52" s="537"/>
      <c r="S52" s="537"/>
      <c r="T52" s="537"/>
      <c r="U52" s="537"/>
      <c r="V52" s="536"/>
      <c r="W52" s="536"/>
      <c r="X52" s="536"/>
      <c r="Y52" s="536"/>
      <c r="Z52" s="536"/>
      <c r="AA52" s="536"/>
      <c r="AB52" s="536"/>
      <c r="AC52" s="536"/>
      <c r="AD52" s="536"/>
      <c r="AE52" s="536"/>
      <c r="AF52" s="536"/>
      <c r="AG52" s="536"/>
      <c r="AH52" s="536"/>
      <c r="AI52" s="536"/>
    </row>
    <row r="53">
      <c r="B53" s="640" t="s">
        <v>1741</v>
      </c>
      <c r="C53" s="542" t="s">
        <v>4399</v>
      </c>
      <c r="D53" s="641" t="s">
        <v>3843</v>
      </c>
      <c r="E53" s="647"/>
      <c r="F53" s="537" t="s">
        <v>4486</v>
      </c>
      <c r="G53" s="537"/>
      <c r="H53" s="536"/>
      <c r="I53" s="536"/>
      <c r="J53" s="537"/>
      <c r="K53" s="536"/>
      <c r="L53" s="537"/>
      <c r="M53" s="537"/>
      <c r="N53" s="537"/>
      <c r="O53" s="537"/>
      <c r="P53" s="536"/>
      <c r="Q53" s="537"/>
      <c r="R53" s="537"/>
      <c r="S53" s="537"/>
      <c r="T53" s="537"/>
      <c r="U53" s="537"/>
      <c r="V53" s="536"/>
      <c r="W53" s="536"/>
      <c r="X53" s="536"/>
      <c r="Y53" s="536"/>
      <c r="Z53" s="536"/>
      <c r="AA53" s="536"/>
      <c r="AB53" s="536"/>
      <c r="AC53" s="536"/>
      <c r="AD53" s="536"/>
      <c r="AE53" s="536"/>
      <c r="AF53" s="536"/>
      <c r="AG53" s="536"/>
      <c r="AH53" s="536"/>
      <c r="AI53" s="536"/>
    </row>
    <row r="54">
      <c r="B54" s="640" t="s">
        <v>1736</v>
      </c>
      <c r="C54" s="542" t="s">
        <v>4400</v>
      </c>
      <c r="D54" s="641" t="s">
        <v>1948</v>
      </c>
      <c r="E54" s="642" t="s">
        <v>4500</v>
      </c>
      <c r="F54" s="537"/>
      <c r="G54" s="537"/>
      <c r="H54" s="536"/>
      <c r="I54" s="536"/>
      <c r="J54" s="537"/>
      <c r="K54" s="536"/>
      <c r="L54" s="537"/>
      <c r="M54" s="537"/>
      <c r="N54" s="537"/>
      <c r="O54" s="537"/>
      <c r="P54" s="536"/>
      <c r="Q54" s="537"/>
      <c r="R54" s="537"/>
      <c r="S54" s="537"/>
      <c r="T54" s="537"/>
      <c r="U54" s="537"/>
      <c r="V54" s="536"/>
      <c r="W54" s="536"/>
      <c r="X54" s="536"/>
      <c r="Y54" s="536"/>
      <c r="Z54" s="536"/>
      <c r="AA54" s="536"/>
      <c r="AB54" s="536"/>
      <c r="AC54" s="536"/>
      <c r="AD54" s="536"/>
      <c r="AE54" s="536"/>
      <c r="AF54" s="536"/>
      <c r="AG54" s="536"/>
      <c r="AH54" s="536"/>
      <c r="AI54" s="536"/>
    </row>
    <row r="55">
      <c r="B55" s="640" t="s">
        <v>1734</v>
      </c>
      <c r="C55" s="537"/>
      <c r="D55" s="641" t="s">
        <v>3847</v>
      </c>
      <c r="E55" s="642" t="s">
        <v>4317</v>
      </c>
      <c r="F55" s="537" t="s">
        <v>4486</v>
      </c>
      <c r="G55" s="537"/>
      <c r="H55" s="536"/>
      <c r="I55" s="536"/>
      <c r="J55" s="537"/>
      <c r="K55" s="536"/>
      <c r="L55" s="537"/>
      <c r="M55" s="537"/>
      <c r="N55" s="537"/>
      <c r="O55" s="537"/>
      <c r="P55" s="536"/>
      <c r="Q55" s="537"/>
      <c r="R55" s="537"/>
      <c r="S55" s="537"/>
      <c r="T55" s="537"/>
      <c r="U55" s="537"/>
      <c r="V55" s="536"/>
      <c r="W55" s="536"/>
      <c r="X55" s="536"/>
      <c r="Y55" s="536"/>
      <c r="Z55" s="536"/>
      <c r="AA55" s="536"/>
      <c r="AB55" s="536"/>
      <c r="AC55" s="536"/>
      <c r="AD55" s="536"/>
      <c r="AE55" s="536"/>
      <c r="AF55" s="536"/>
      <c r="AG55" s="536"/>
      <c r="AH55" s="536"/>
      <c r="AI55" s="536"/>
    </row>
    <row r="56">
      <c r="B56" s="640" t="s">
        <v>1729</v>
      </c>
      <c r="C56" s="542" t="s">
        <v>4401</v>
      </c>
      <c r="D56" s="641" t="s">
        <v>4402</v>
      </c>
      <c r="E56" s="642" t="s">
        <v>1263</v>
      </c>
      <c r="F56" s="537"/>
      <c r="G56" s="537"/>
      <c r="H56" s="536"/>
      <c r="I56" s="536"/>
      <c r="J56" s="537"/>
      <c r="K56" s="536"/>
      <c r="L56" s="537"/>
      <c r="M56" s="537"/>
      <c r="N56" s="537"/>
      <c r="O56" s="537"/>
      <c r="P56" s="536"/>
      <c r="Q56" s="537"/>
      <c r="R56" s="537"/>
      <c r="S56" s="537"/>
      <c r="T56" s="537"/>
      <c r="U56" s="537"/>
      <c r="V56" s="536"/>
      <c r="W56" s="536"/>
      <c r="X56" s="536"/>
      <c r="Y56" s="536"/>
      <c r="Z56" s="536"/>
      <c r="AA56" s="536"/>
      <c r="AB56" s="536"/>
      <c r="AC56" s="536"/>
      <c r="AD56" s="536"/>
      <c r="AE56" s="536"/>
      <c r="AF56" s="536"/>
      <c r="AG56" s="536"/>
      <c r="AH56" s="536"/>
      <c r="AI56" s="536"/>
    </row>
    <row r="57">
      <c r="B57" s="640" t="s">
        <v>1724</v>
      </c>
      <c r="C57" s="542" t="s">
        <v>4403</v>
      </c>
      <c r="D57" s="641" t="s">
        <v>4404</v>
      </c>
      <c r="E57" s="642" t="s">
        <v>3728</v>
      </c>
      <c r="F57" s="537"/>
      <c r="G57" s="537"/>
      <c r="H57" s="536"/>
      <c r="I57" s="536"/>
      <c r="J57" s="537"/>
      <c r="K57" s="536"/>
      <c r="L57" s="537"/>
      <c r="M57" s="537"/>
      <c r="N57" s="537"/>
      <c r="O57" s="537"/>
      <c r="P57" s="536"/>
      <c r="Q57" s="537"/>
      <c r="R57" s="537"/>
      <c r="S57" s="537"/>
      <c r="T57" s="537"/>
      <c r="U57" s="537"/>
      <c r="V57" s="536"/>
      <c r="W57" s="536"/>
      <c r="X57" s="536"/>
      <c r="Y57" s="536"/>
      <c r="Z57" s="536"/>
      <c r="AA57" s="536"/>
      <c r="AB57" s="536"/>
      <c r="AC57" s="536"/>
      <c r="AD57" s="536"/>
      <c r="AE57" s="536"/>
      <c r="AF57" s="536"/>
      <c r="AG57" s="536"/>
      <c r="AH57" s="536"/>
      <c r="AI57" s="536"/>
    </row>
    <row r="58">
      <c r="B58" s="640" t="s">
        <v>1719</v>
      </c>
      <c r="C58" s="542" t="s">
        <v>4405</v>
      </c>
      <c r="D58" s="641" t="s">
        <v>4406</v>
      </c>
      <c r="E58" s="642" t="s">
        <v>3728</v>
      </c>
      <c r="F58" s="537"/>
      <c r="G58" s="537"/>
      <c r="H58" s="536"/>
      <c r="I58" s="536"/>
      <c r="J58" s="537"/>
      <c r="K58" s="536"/>
      <c r="L58" s="537"/>
      <c r="M58" s="537"/>
      <c r="N58" s="537"/>
      <c r="O58" s="537"/>
      <c r="P58" s="536"/>
      <c r="Q58" s="537"/>
      <c r="R58" s="537"/>
      <c r="S58" s="537"/>
      <c r="T58" s="537"/>
      <c r="U58" s="537"/>
      <c r="V58" s="536"/>
      <c r="W58" s="536"/>
      <c r="X58" s="536"/>
      <c r="Y58" s="536"/>
      <c r="Z58" s="536"/>
      <c r="AA58" s="536"/>
      <c r="AB58" s="536"/>
      <c r="AC58" s="536"/>
      <c r="AD58" s="536"/>
      <c r="AE58" s="536"/>
      <c r="AF58" s="536"/>
      <c r="AG58" s="536"/>
      <c r="AH58" s="536"/>
      <c r="AI58" s="536"/>
    </row>
    <row r="59">
      <c r="B59" s="640" t="s">
        <v>1714</v>
      </c>
      <c r="C59" s="542" t="s">
        <v>4407</v>
      </c>
      <c r="D59" s="641" t="s">
        <v>263</v>
      </c>
      <c r="E59" s="642" t="s">
        <v>3728</v>
      </c>
      <c r="F59" s="537"/>
      <c r="G59" s="537"/>
      <c r="H59" s="536"/>
      <c r="I59" s="536"/>
      <c r="J59" s="537"/>
      <c r="K59" s="536"/>
      <c r="L59" s="537"/>
      <c r="M59" s="537"/>
      <c r="N59" s="537"/>
      <c r="O59" s="537"/>
      <c r="P59" s="536"/>
      <c r="Q59" s="537"/>
      <c r="R59" s="537"/>
      <c r="S59" s="537"/>
      <c r="T59" s="537"/>
      <c r="U59" s="537"/>
      <c r="V59" s="536"/>
      <c r="W59" s="536"/>
      <c r="X59" s="536"/>
      <c r="Y59" s="536"/>
      <c r="Z59" s="536"/>
      <c r="AA59" s="536"/>
      <c r="AB59" s="536"/>
      <c r="AC59" s="536"/>
      <c r="AD59" s="536"/>
      <c r="AE59" s="536"/>
      <c r="AF59" s="536"/>
      <c r="AG59" s="536"/>
      <c r="AH59" s="536"/>
      <c r="AI59" s="536"/>
    </row>
    <row r="60">
      <c r="B60" s="640" t="s">
        <v>1709</v>
      </c>
      <c r="C60" s="542" t="s">
        <v>4408</v>
      </c>
      <c r="D60" s="641" t="s">
        <v>4409</v>
      </c>
      <c r="E60" s="642" t="s">
        <v>3728</v>
      </c>
      <c r="F60" s="537"/>
      <c r="G60" s="537"/>
      <c r="H60" s="536"/>
      <c r="I60" s="536"/>
      <c r="J60" s="537"/>
      <c r="K60" s="536"/>
      <c r="L60" s="537"/>
      <c r="M60" s="537"/>
      <c r="N60" s="537"/>
      <c r="O60" s="537"/>
      <c r="P60" s="536"/>
      <c r="Q60" s="537"/>
      <c r="R60" s="537"/>
      <c r="S60" s="537"/>
      <c r="T60" s="537"/>
      <c r="U60" s="537"/>
      <c r="V60" s="536"/>
      <c r="W60" s="536"/>
      <c r="X60" s="536"/>
      <c r="Y60" s="536"/>
      <c r="Z60" s="536"/>
      <c r="AA60" s="536"/>
      <c r="AB60" s="536"/>
      <c r="AC60" s="536"/>
      <c r="AD60" s="536"/>
      <c r="AE60" s="536"/>
      <c r="AF60" s="536"/>
      <c r="AG60" s="536"/>
      <c r="AH60" s="536"/>
      <c r="AI60" s="536"/>
    </row>
    <row r="61">
      <c r="B61" s="640" t="s">
        <v>1704</v>
      </c>
      <c r="C61" s="542" t="s">
        <v>4408</v>
      </c>
      <c r="D61" s="641" t="s">
        <v>4410</v>
      </c>
      <c r="E61" s="642" t="s">
        <v>3728</v>
      </c>
      <c r="F61" s="537"/>
      <c r="G61" s="537"/>
      <c r="H61" s="536"/>
      <c r="I61" s="536"/>
      <c r="J61" s="537"/>
      <c r="K61" s="536"/>
      <c r="L61" s="537"/>
      <c r="M61" s="537"/>
      <c r="N61" s="537"/>
      <c r="O61" s="537"/>
      <c r="P61" s="536"/>
      <c r="Q61" s="537"/>
      <c r="R61" s="537"/>
      <c r="S61" s="537"/>
      <c r="T61" s="537"/>
      <c r="U61" s="537"/>
      <c r="V61" s="536"/>
      <c r="W61" s="536"/>
      <c r="X61" s="536"/>
      <c r="Y61" s="536"/>
      <c r="Z61" s="536"/>
      <c r="AA61" s="536"/>
      <c r="AB61" s="536"/>
      <c r="AC61" s="536"/>
      <c r="AD61" s="536"/>
      <c r="AE61" s="536"/>
      <c r="AF61" s="536"/>
      <c r="AG61" s="536"/>
      <c r="AH61" s="536"/>
      <c r="AI61" s="536"/>
    </row>
    <row r="62">
      <c r="B62" s="640" t="s">
        <v>1703</v>
      </c>
      <c r="C62" s="537"/>
      <c r="D62" s="641" t="s">
        <v>4411</v>
      </c>
      <c r="E62" s="642" t="s">
        <v>4317</v>
      </c>
      <c r="F62" s="537" t="s">
        <v>4486</v>
      </c>
      <c r="G62" s="537"/>
      <c r="H62" s="536"/>
      <c r="I62" s="536"/>
      <c r="J62" s="537"/>
      <c r="K62" s="536"/>
      <c r="L62" s="537"/>
      <c r="M62" s="537"/>
      <c r="N62" s="537"/>
      <c r="O62" s="537"/>
      <c r="P62" s="536"/>
      <c r="Q62" s="537"/>
      <c r="R62" s="537"/>
      <c r="S62" s="537"/>
      <c r="T62" s="537"/>
      <c r="U62" s="537"/>
      <c r="V62" s="536"/>
      <c r="W62" s="536"/>
      <c r="X62" s="536"/>
      <c r="Y62" s="536"/>
      <c r="Z62" s="536"/>
      <c r="AA62" s="536"/>
      <c r="AB62" s="536"/>
      <c r="AC62" s="536"/>
      <c r="AD62" s="536"/>
      <c r="AE62" s="536"/>
      <c r="AF62" s="536"/>
      <c r="AG62" s="536"/>
      <c r="AH62" s="536"/>
      <c r="AI62" s="536"/>
    </row>
    <row r="63">
      <c r="B63" s="640" t="s">
        <v>1698</v>
      </c>
      <c r="C63" s="542" t="s">
        <v>4412</v>
      </c>
      <c r="D63" s="641" t="s">
        <v>4413</v>
      </c>
      <c r="E63" s="642" t="s">
        <v>3728</v>
      </c>
      <c r="F63" s="537"/>
      <c r="G63" s="537"/>
      <c r="H63" s="536"/>
      <c r="I63" s="536"/>
      <c r="J63" s="537"/>
      <c r="K63" s="536"/>
      <c r="L63" s="537"/>
      <c r="M63" s="537"/>
      <c r="N63" s="537"/>
      <c r="O63" s="537"/>
      <c r="P63" s="536"/>
      <c r="Q63" s="537"/>
      <c r="R63" s="537"/>
      <c r="S63" s="537"/>
      <c r="T63" s="537"/>
      <c r="U63" s="537"/>
      <c r="V63" s="536"/>
      <c r="W63" s="536"/>
      <c r="X63" s="536"/>
      <c r="Y63" s="536"/>
      <c r="Z63" s="536"/>
      <c r="AA63" s="536"/>
      <c r="AB63" s="536"/>
      <c r="AC63" s="536"/>
      <c r="AD63" s="536"/>
      <c r="AE63" s="536"/>
      <c r="AF63" s="536"/>
      <c r="AG63" s="536"/>
      <c r="AH63" s="536"/>
      <c r="AI63" s="536"/>
    </row>
    <row r="64">
      <c r="B64" s="640" t="s">
        <v>1693</v>
      </c>
      <c r="C64" s="542" t="s">
        <v>4414</v>
      </c>
      <c r="D64" s="641" t="s">
        <v>4415</v>
      </c>
      <c r="E64" s="642" t="s">
        <v>4490</v>
      </c>
      <c r="F64" s="537"/>
      <c r="G64" s="537"/>
      <c r="H64" s="536"/>
      <c r="I64" s="536"/>
      <c r="J64" s="537"/>
      <c r="K64" s="536"/>
      <c r="L64" s="537"/>
      <c r="M64" s="537"/>
      <c r="N64" s="537"/>
      <c r="O64" s="537"/>
      <c r="P64" s="536"/>
      <c r="Q64" s="537"/>
      <c r="R64" s="537"/>
      <c r="S64" s="537"/>
      <c r="T64" s="537"/>
      <c r="U64" s="537"/>
      <c r="V64" s="536"/>
      <c r="W64" s="536"/>
      <c r="X64" s="536"/>
      <c r="Y64" s="536"/>
      <c r="Z64" s="536"/>
      <c r="AA64" s="536"/>
      <c r="AB64" s="536"/>
      <c r="AC64" s="536"/>
      <c r="AD64" s="536"/>
      <c r="AE64" s="536"/>
      <c r="AF64" s="536"/>
      <c r="AG64" s="536"/>
      <c r="AH64" s="536"/>
      <c r="AI64" s="536"/>
    </row>
    <row r="65">
      <c r="B65" s="640" t="s">
        <v>1688</v>
      </c>
      <c r="C65" s="542" t="s">
        <v>4416</v>
      </c>
      <c r="D65" s="641" t="s">
        <v>4417</v>
      </c>
      <c r="E65" s="642" t="s">
        <v>3728</v>
      </c>
      <c r="F65" s="537"/>
      <c r="G65" s="537"/>
      <c r="H65" s="536"/>
      <c r="I65" s="536"/>
      <c r="J65" s="537"/>
      <c r="K65" s="536"/>
      <c r="L65" s="537"/>
      <c r="M65" s="537"/>
      <c r="N65" s="537"/>
      <c r="O65" s="537"/>
      <c r="P65" s="536"/>
      <c r="Q65" s="537"/>
      <c r="R65" s="537"/>
      <c r="S65" s="537"/>
      <c r="T65" s="537"/>
      <c r="U65" s="537"/>
      <c r="V65" s="536"/>
      <c r="W65" s="536"/>
      <c r="X65" s="536"/>
      <c r="Y65" s="536"/>
      <c r="Z65" s="536"/>
      <c r="AA65" s="536"/>
      <c r="AB65" s="536"/>
      <c r="AC65" s="536"/>
      <c r="AD65" s="536"/>
      <c r="AE65" s="536"/>
      <c r="AF65" s="536"/>
      <c r="AG65" s="536"/>
      <c r="AH65" s="536"/>
      <c r="AI65" s="536"/>
    </row>
    <row r="66">
      <c r="B66" s="640" t="s">
        <v>1683</v>
      </c>
      <c r="C66" s="542" t="s">
        <v>4418</v>
      </c>
      <c r="D66" s="641" t="s">
        <v>4419</v>
      </c>
      <c r="E66" s="642"/>
      <c r="F66" s="537" t="s">
        <v>4501</v>
      </c>
      <c r="G66" s="537"/>
      <c r="H66" s="536"/>
      <c r="I66" s="536"/>
      <c r="J66" s="537"/>
      <c r="K66" s="536"/>
      <c r="L66" s="537"/>
      <c r="M66" s="537"/>
      <c r="N66" s="537"/>
      <c r="O66" s="537"/>
      <c r="P66" s="536"/>
      <c r="Q66" s="537"/>
      <c r="R66" s="537"/>
      <c r="S66" s="537"/>
      <c r="T66" s="537"/>
      <c r="U66" s="537"/>
      <c r="V66" s="536"/>
      <c r="W66" s="536"/>
      <c r="X66" s="536"/>
      <c r="Y66" s="536"/>
      <c r="Z66" s="536"/>
      <c r="AA66" s="536"/>
      <c r="AB66" s="536"/>
      <c r="AC66" s="536"/>
      <c r="AD66" s="536"/>
      <c r="AE66" s="536"/>
      <c r="AF66" s="536"/>
      <c r="AG66" s="536"/>
      <c r="AH66" s="536"/>
      <c r="AI66" s="536"/>
    </row>
    <row r="67">
      <c r="B67" s="640" t="s">
        <v>1678</v>
      </c>
      <c r="C67" s="542" t="s">
        <v>4420</v>
      </c>
      <c r="D67" s="641" t="s">
        <v>4421</v>
      </c>
      <c r="E67" s="642" t="s">
        <v>4348</v>
      </c>
      <c r="F67" s="537" t="s">
        <v>4502</v>
      </c>
      <c r="G67" s="537"/>
      <c r="H67" s="536"/>
      <c r="I67" s="536"/>
      <c r="J67" s="537"/>
      <c r="K67" s="536"/>
      <c r="L67" s="537"/>
      <c r="M67" s="537"/>
      <c r="N67" s="537"/>
      <c r="O67" s="537"/>
      <c r="P67" s="536"/>
      <c r="Q67" s="537"/>
      <c r="R67" s="537"/>
      <c r="S67" s="537"/>
      <c r="T67" s="537"/>
      <c r="U67" s="537"/>
      <c r="V67" s="536"/>
      <c r="W67" s="536"/>
      <c r="X67" s="536"/>
      <c r="Y67" s="536"/>
      <c r="Z67" s="536"/>
      <c r="AA67" s="536"/>
      <c r="AB67" s="536"/>
      <c r="AC67" s="536"/>
      <c r="AD67" s="536"/>
      <c r="AE67" s="536"/>
      <c r="AF67" s="536"/>
      <c r="AG67" s="536"/>
      <c r="AH67" s="536"/>
      <c r="AI67" s="536"/>
    </row>
    <row r="68">
      <c r="B68" s="640" t="s">
        <v>1673</v>
      </c>
      <c r="C68" s="542" t="s">
        <v>4422</v>
      </c>
      <c r="D68" s="641" t="s">
        <v>4321</v>
      </c>
      <c r="E68" s="642"/>
      <c r="F68" s="537" t="s">
        <v>4260</v>
      </c>
      <c r="G68" s="537"/>
      <c r="H68" s="536"/>
      <c r="I68" s="536"/>
      <c r="J68" s="537"/>
      <c r="K68" s="536"/>
      <c r="L68" s="537"/>
      <c r="M68" s="537"/>
      <c r="N68" s="537"/>
      <c r="O68" s="537"/>
      <c r="P68" s="536"/>
      <c r="Q68" s="537"/>
      <c r="R68" s="537"/>
      <c r="S68" s="537"/>
      <c r="T68" s="537"/>
      <c r="U68" s="537"/>
      <c r="V68" s="536"/>
      <c r="W68" s="536"/>
      <c r="X68" s="536"/>
      <c r="Y68" s="536"/>
      <c r="Z68" s="536"/>
      <c r="AA68" s="536"/>
      <c r="AB68" s="536"/>
      <c r="AC68" s="536"/>
      <c r="AD68" s="536"/>
      <c r="AE68" s="536"/>
      <c r="AF68" s="536"/>
      <c r="AG68" s="536"/>
      <c r="AH68" s="536"/>
      <c r="AI68" s="536"/>
    </row>
    <row r="69">
      <c r="B69" s="640" t="s">
        <v>1668</v>
      </c>
      <c r="C69" s="542" t="s">
        <v>4423</v>
      </c>
      <c r="D69" s="641" t="s">
        <v>4424</v>
      </c>
      <c r="E69" s="642" t="s">
        <v>4348</v>
      </c>
      <c r="F69" s="537" t="s">
        <v>4503</v>
      </c>
      <c r="G69" s="537"/>
      <c r="H69" s="536"/>
      <c r="I69" s="536"/>
      <c r="J69" s="537"/>
      <c r="K69" s="536"/>
      <c r="L69" s="537"/>
      <c r="M69" s="537"/>
      <c r="N69" s="537"/>
      <c r="O69" s="537"/>
      <c r="P69" s="536"/>
      <c r="Q69" s="537"/>
      <c r="R69" s="537"/>
      <c r="S69" s="537"/>
      <c r="T69" s="537"/>
      <c r="U69" s="537"/>
      <c r="V69" s="536"/>
      <c r="W69" s="536"/>
      <c r="X69" s="536"/>
      <c r="Y69" s="536"/>
      <c r="Z69" s="536"/>
      <c r="AA69" s="536"/>
      <c r="AB69" s="536"/>
      <c r="AC69" s="536"/>
      <c r="AD69" s="536"/>
      <c r="AE69" s="536"/>
      <c r="AF69" s="536"/>
      <c r="AG69" s="536"/>
      <c r="AH69" s="536"/>
      <c r="AI69" s="536"/>
    </row>
    <row r="70">
      <c r="B70" s="640" t="s">
        <v>1663</v>
      </c>
      <c r="C70" s="542" t="s">
        <v>4425</v>
      </c>
      <c r="D70" s="641" t="s">
        <v>4323</v>
      </c>
      <c r="E70" s="642"/>
      <c r="F70" s="537" t="s">
        <v>4260</v>
      </c>
      <c r="G70" s="537"/>
      <c r="H70" s="536"/>
      <c r="I70" s="536"/>
      <c r="J70" s="537"/>
      <c r="K70" s="536"/>
      <c r="L70" s="537"/>
      <c r="M70" s="537"/>
      <c r="N70" s="537"/>
      <c r="O70" s="537"/>
      <c r="P70" s="536"/>
      <c r="Q70" s="537"/>
      <c r="R70" s="537"/>
      <c r="S70" s="537"/>
      <c r="T70" s="537"/>
      <c r="U70" s="537"/>
      <c r="V70" s="536"/>
      <c r="W70" s="536"/>
      <c r="X70" s="536"/>
      <c r="Y70" s="536"/>
      <c r="Z70" s="536"/>
      <c r="AA70" s="536"/>
      <c r="AB70" s="536"/>
      <c r="AC70" s="536"/>
      <c r="AD70" s="536"/>
      <c r="AE70" s="536"/>
      <c r="AF70" s="536"/>
      <c r="AG70" s="536"/>
      <c r="AH70" s="536"/>
      <c r="AI70" s="536"/>
    </row>
    <row r="71">
      <c r="B71" s="640" t="s">
        <v>1658</v>
      </c>
      <c r="C71" s="542" t="s">
        <v>4426</v>
      </c>
      <c r="D71" s="641" t="s">
        <v>4427</v>
      </c>
      <c r="E71" s="647"/>
      <c r="F71" s="537" t="s">
        <v>4504</v>
      </c>
      <c r="G71" s="537"/>
      <c r="H71" s="536"/>
      <c r="I71" s="536"/>
      <c r="J71" s="537"/>
      <c r="K71" s="536"/>
      <c r="L71" s="537"/>
      <c r="M71" s="537"/>
      <c r="N71" s="537"/>
      <c r="O71" s="537"/>
      <c r="P71" s="536"/>
      <c r="Q71" s="537"/>
      <c r="R71" s="537"/>
      <c r="S71" s="537"/>
      <c r="T71" s="537"/>
      <c r="U71" s="537"/>
      <c r="V71" s="536"/>
      <c r="W71" s="536"/>
      <c r="X71" s="536"/>
      <c r="Y71" s="536"/>
      <c r="Z71" s="536"/>
      <c r="AA71" s="536"/>
      <c r="AB71" s="536"/>
      <c r="AC71" s="536"/>
      <c r="AD71" s="536"/>
      <c r="AE71" s="536"/>
      <c r="AF71" s="536"/>
      <c r="AG71" s="536"/>
      <c r="AH71" s="536"/>
      <c r="AI71" s="536"/>
    </row>
    <row r="72">
      <c r="B72" s="640" t="s">
        <v>1653</v>
      </c>
      <c r="C72" s="542" t="s">
        <v>4428</v>
      </c>
      <c r="D72" s="701" t="s">
        <v>4505</v>
      </c>
      <c r="E72" s="647"/>
      <c r="F72" s="537" t="s">
        <v>4486</v>
      </c>
      <c r="G72" s="537"/>
      <c r="H72" s="536"/>
      <c r="I72" s="536"/>
      <c r="J72" s="537"/>
      <c r="K72" s="536"/>
      <c r="L72" s="537"/>
      <c r="M72" s="537"/>
      <c r="N72" s="537"/>
      <c r="O72" s="537"/>
      <c r="P72" s="536"/>
      <c r="Q72" s="537"/>
      <c r="R72" s="537"/>
      <c r="S72" s="537"/>
      <c r="T72" s="537"/>
      <c r="U72" s="537"/>
      <c r="V72" s="536"/>
      <c r="W72" s="536"/>
      <c r="X72" s="536"/>
      <c r="Y72" s="536"/>
      <c r="Z72" s="536"/>
      <c r="AA72" s="536"/>
      <c r="AB72" s="536"/>
      <c r="AC72" s="536"/>
      <c r="AD72" s="536"/>
      <c r="AE72" s="536"/>
      <c r="AF72" s="536"/>
      <c r="AG72" s="536"/>
      <c r="AH72" s="536"/>
      <c r="AI72" s="536"/>
    </row>
    <row r="73">
      <c r="B73" s="640" t="s">
        <v>1648</v>
      </c>
      <c r="C73" s="542" t="s">
        <v>4430</v>
      </c>
      <c r="D73" s="641" t="s">
        <v>883</v>
      </c>
      <c r="E73" s="642"/>
      <c r="F73" s="537" t="s">
        <v>4486</v>
      </c>
      <c r="G73" s="537"/>
      <c r="H73" s="536"/>
      <c r="I73" s="536"/>
      <c r="J73" s="537"/>
      <c r="K73" s="536"/>
      <c r="L73" s="537"/>
      <c r="M73" s="537"/>
      <c r="N73" s="537"/>
      <c r="O73" s="537"/>
      <c r="P73" s="536"/>
      <c r="Q73" s="537"/>
      <c r="R73" s="537"/>
      <c r="S73" s="537"/>
      <c r="T73" s="537"/>
      <c r="U73" s="537"/>
      <c r="V73" s="536"/>
      <c r="W73" s="536"/>
      <c r="X73" s="536"/>
      <c r="Y73" s="536"/>
      <c r="Z73" s="536"/>
      <c r="AA73" s="536"/>
      <c r="AB73" s="536"/>
      <c r="AC73" s="536"/>
      <c r="AD73" s="536"/>
      <c r="AE73" s="536"/>
      <c r="AF73" s="536"/>
      <c r="AG73" s="536"/>
      <c r="AH73" s="536"/>
      <c r="AI73" s="536"/>
    </row>
    <row r="74">
      <c r="B74" s="640" t="s">
        <v>1643</v>
      </c>
      <c r="C74" s="542" t="s">
        <v>4431</v>
      </c>
      <c r="D74" s="641" t="s">
        <v>4326</v>
      </c>
      <c r="E74" s="642"/>
      <c r="F74" s="537" t="s">
        <v>4260</v>
      </c>
      <c r="G74" s="537"/>
      <c r="H74" s="536"/>
      <c r="I74" s="536"/>
      <c r="J74" s="537"/>
      <c r="K74" s="536"/>
      <c r="L74" s="537"/>
      <c r="M74" s="537"/>
      <c r="N74" s="537"/>
      <c r="O74" s="537"/>
      <c r="P74" s="536"/>
      <c r="Q74" s="537"/>
      <c r="R74" s="537"/>
      <c r="S74" s="537"/>
      <c r="T74" s="537"/>
      <c r="U74" s="537"/>
      <c r="V74" s="536"/>
      <c r="W74" s="536"/>
      <c r="X74" s="536"/>
      <c r="Y74" s="536"/>
      <c r="Z74" s="536"/>
      <c r="AA74" s="536"/>
      <c r="AB74" s="536"/>
      <c r="AC74" s="536"/>
      <c r="AD74" s="536"/>
      <c r="AE74" s="536"/>
      <c r="AF74" s="536"/>
      <c r="AG74" s="536"/>
      <c r="AH74" s="536"/>
      <c r="AI74" s="536"/>
    </row>
    <row r="75">
      <c r="B75" s="640" t="s">
        <v>1638</v>
      </c>
      <c r="C75" s="542" t="s">
        <v>4432</v>
      </c>
      <c r="D75" s="641" t="s">
        <v>4433</v>
      </c>
      <c r="E75" s="642" t="s">
        <v>3728</v>
      </c>
      <c r="F75" s="537"/>
      <c r="G75" s="537"/>
      <c r="H75" s="536"/>
      <c r="I75" s="536"/>
      <c r="J75" s="537"/>
      <c r="K75" s="536"/>
      <c r="L75" s="537"/>
      <c r="M75" s="537"/>
      <c r="N75" s="537"/>
      <c r="O75" s="537"/>
      <c r="P75" s="536"/>
      <c r="Q75" s="537"/>
      <c r="R75" s="537"/>
      <c r="S75" s="537"/>
      <c r="T75" s="537"/>
      <c r="U75" s="537"/>
      <c r="V75" s="536"/>
      <c r="W75" s="536"/>
      <c r="X75" s="536"/>
      <c r="Y75" s="536"/>
      <c r="Z75" s="536"/>
      <c r="AA75" s="536"/>
      <c r="AB75" s="536"/>
      <c r="AC75" s="536"/>
      <c r="AD75" s="536"/>
      <c r="AE75" s="536"/>
      <c r="AF75" s="536"/>
      <c r="AG75" s="536"/>
      <c r="AH75" s="536"/>
      <c r="AI75" s="536"/>
    </row>
    <row r="76">
      <c r="A76" s="643" t="s">
        <v>1517</v>
      </c>
      <c r="B76" s="644" t="s">
        <v>1630</v>
      </c>
      <c r="C76" s="528" t="s">
        <v>398</v>
      </c>
      <c r="D76" s="645" t="s">
        <v>1631</v>
      </c>
      <c r="E76" s="646"/>
      <c r="F76" s="528" t="s">
        <v>4260</v>
      </c>
      <c r="G76" s="528"/>
      <c r="H76" s="527"/>
      <c r="I76" s="527"/>
      <c r="J76" s="528"/>
      <c r="K76" s="527"/>
      <c r="L76" s="528"/>
      <c r="M76" s="528"/>
      <c r="N76" s="528"/>
      <c r="O76" s="528"/>
      <c r="P76" s="527"/>
      <c r="Q76" s="528"/>
      <c r="R76" s="528"/>
      <c r="S76" s="528"/>
      <c r="T76" s="528"/>
      <c r="U76" s="528"/>
      <c r="V76" s="527"/>
      <c r="W76" s="527"/>
      <c r="X76" s="527"/>
      <c r="Y76" s="527"/>
      <c r="Z76" s="527"/>
      <c r="AA76" s="527"/>
      <c r="AB76" s="527"/>
      <c r="AC76" s="527"/>
      <c r="AD76" s="527"/>
      <c r="AE76" s="527"/>
      <c r="AF76" s="527"/>
      <c r="AG76" s="527"/>
      <c r="AH76" s="527"/>
      <c r="AI76" s="536"/>
    </row>
    <row r="77">
      <c r="B77" s="644" t="s">
        <v>1625</v>
      </c>
      <c r="C77" s="533" t="s">
        <v>4434</v>
      </c>
      <c r="D77" s="645" t="s">
        <v>4435</v>
      </c>
      <c r="E77" s="646"/>
      <c r="F77" s="528" t="s">
        <v>4506</v>
      </c>
      <c r="G77" s="528"/>
      <c r="H77" s="527"/>
      <c r="I77" s="527"/>
      <c r="J77" s="528"/>
      <c r="K77" s="527"/>
      <c r="L77" s="528"/>
      <c r="M77" s="528"/>
      <c r="N77" s="528"/>
      <c r="O77" s="528"/>
      <c r="P77" s="527"/>
      <c r="Q77" s="528"/>
      <c r="R77" s="528"/>
      <c r="S77" s="528"/>
      <c r="T77" s="528"/>
      <c r="U77" s="528"/>
      <c r="V77" s="527"/>
      <c r="W77" s="527"/>
      <c r="X77" s="527"/>
      <c r="Y77" s="527"/>
      <c r="Z77" s="527"/>
      <c r="AA77" s="527"/>
      <c r="AB77" s="527"/>
      <c r="AC77" s="527"/>
      <c r="AD77" s="527"/>
      <c r="AE77" s="527"/>
      <c r="AF77" s="527"/>
      <c r="AG77" s="527"/>
      <c r="AH77" s="527"/>
      <c r="AI77" s="536"/>
    </row>
    <row r="78">
      <c r="B78" s="644" t="s">
        <v>1620</v>
      </c>
      <c r="C78" s="533" t="s">
        <v>4436</v>
      </c>
      <c r="D78" s="645" t="s">
        <v>4437</v>
      </c>
      <c r="E78" s="646"/>
      <c r="F78" s="528" t="s">
        <v>4507</v>
      </c>
      <c r="G78" s="528"/>
      <c r="H78" s="527"/>
      <c r="I78" s="527"/>
      <c r="J78" s="528"/>
      <c r="K78" s="527"/>
      <c r="L78" s="528"/>
      <c r="M78" s="528"/>
      <c r="N78" s="528"/>
      <c r="O78" s="528"/>
      <c r="P78" s="527"/>
      <c r="Q78" s="528"/>
      <c r="R78" s="528"/>
      <c r="S78" s="528"/>
      <c r="T78" s="528"/>
      <c r="U78" s="528"/>
      <c r="V78" s="527"/>
      <c r="W78" s="527"/>
      <c r="X78" s="527"/>
      <c r="Y78" s="527"/>
      <c r="Z78" s="527"/>
      <c r="AA78" s="527"/>
      <c r="AB78" s="527"/>
      <c r="AC78" s="527"/>
      <c r="AD78" s="527"/>
      <c r="AE78" s="527"/>
      <c r="AF78" s="527"/>
      <c r="AG78" s="527"/>
      <c r="AH78" s="527"/>
      <c r="AI78" s="536"/>
    </row>
    <row r="79">
      <c r="B79" s="644" t="s">
        <v>1615</v>
      </c>
      <c r="C79" s="528" t="s">
        <v>398</v>
      </c>
      <c r="D79" s="645" t="s">
        <v>3771</v>
      </c>
      <c r="E79" s="646"/>
      <c r="F79" s="528" t="s">
        <v>4260</v>
      </c>
      <c r="G79" s="528"/>
      <c r="H79" s="527"/>
      <c r="I79" s="527"/>
      <c r="J79" s="528"/>
      <c r="K79" s="527"/>
      <c r="L79" s="528"/>
      <c r="M79" s="528"/>
      <c r="N79" s="528"/>
      <c r="O79" s="528"/>
      <c r="P79" s="527"/>
      <c r="Q79" s="528"/>
      <c r="R79" s="528"/>
      <c r="S79" s="528"/>
      <c r="T79" s="528"/>
      <c r="U79" s="528"/>
      <c r="V79" s="527"/>
      <c r="W79" s="527"/>
      <c r="X79" s="527"/>
      <c r="Y79" s="527"/>
      <c r="Z79" s="527"/>
      <c r="AA79" s="527"/>
      <c r="AB79" s="527"/>
      <c r="AC79" s="527"/>
      <c r="AD79" s="527"/>
      <c r="AE79" s="527"/>
      <c r="AF79" s="527"/>
      <c r="AG79" s="527"/>
      <c r="AH79" s="527"/>
      <c r="AI79" s="536"/>
    </row>
    <row r="80">
      <c r="B80" s="644" t="s">
        <v>4438</v>
      </c>
      <c r="C80" s="533" t="s">
        <v>4439</v>
      </c>
      <c r="D80" s="645" t="s">
        <v>4440</v>
      </c>
      <c r="E80" s="646"/>
      <c r="F80" s="528"/>
      <c r="G80" s="528"/>
      <c r="H80" s="527"/>
      <c r="I80" s="527"/>
      <c r="J80" s="528"/>
      <c r="K80" s="527"/>
      <c r="L80" s="528"/>
      <c r="M80" s="528"/>
      <c r="N80" s="528"/>
      <c r="O80" s="528"/>
      <c r="P80" s="527"/>
      <c r="Q80" s="528"/>
      <c r="R80" s="528"/>
      <c r="S80" s="528"/>
      <c r="T80" s="528"/>
      <c r="U80" s="528"/>
      <c r="V80" s="527"/>
      <c r="W80" s="527"/>
      <c r="X80" s="527"/>
      <c r="Y80" s="527"/>
      <c r="Z80" s="527"/>
      <c r="AA80" s="527"/>
      <c r="AB80" s="527"/>
      <c r="AC80" s="527"/>
      <c r="AD80" s="527"/>
      <c r="AE80" s="527"/>
      <c r="AF80" s="527"/>
      <c r="AG80" s="527"/>
      <c r="AH80" s="527"/>
      <c r="AI80" s="536"/>
    </row>
    <row r="81">
      <c r="B81" s="644" t="s">
        <v>4438</v>
      </c>
      <c r="C81" s="533" t="s">
        <v>4441</v>
      </c>
      <c r="D81" s="645" t="s">
        <v>4442</v>
      </c>
      <c r="E81" s="702"/>
      <c r="F81" s="528" t="s">
        <v>4443</v>
      </c>
      <c r="G81" s="528"/>
      <c r="H81" s="527"/>
      <c r="I81" s="527"/>
      <c r="J81" s="528"/>
      <c r="K81" s="527"/>
      <c r="L81" s="528"/>
      <c r="M81" s="528"/>
      <c r="N81" s="528"/>
      <c r="O81" s="528"/>
      <c r="P81" s="527"/>
      <c r="Q81" s="528"/>
      <c r="R81" s="528"/>
      <c r="S81" s="528"/>
      <c r="T81" s="528"/>
      <c r="U81" s="528"/>
      <c r="V81" s="527"/>
      <c r="W81" s="527"/>
      <c r="X81" s="527"/>
      <c r="Y81" s="527"/>
      <c r="Z81" s="527"/>
      <c r="AA81" s="527"/>
      <c r="AB81" s="527"/>
      <c r="AC81" s="527"/>
      <c r="AD81" s="527"/>
      <c r="AE81" s="527"/>
      <c r="AF81" s="527"/>
      <c r="AG81" s="527"/>
      <c r="AH81" s="527"/>
      <c r="AI81" s="536"/>
    </row>
    <row r="82">
      <c r="B82" s="644" t="s">
        <v>1602</v>
      </c>
      <c r="C82" s="533" t="s">
        <v>4444</v>
      </c>
      <c r="D82" s="645" t="s">
        <v>595</v>
      </c>
      <c r="E82" s="646"/>
      <c r="F82" s="528" t="s">
        <v>4260</v>
      </c>
      <c r="G82" s="528"/>
      <c r="H82" s="527"/>
      <c r="I82" s="527"/>
      <c r="J82" s="528"/>
      <c r="K82" s="527"/>
      <c r="L82" s="528"/>
      <c r="M82" s="528"/>
      <c r="N82" s="528"/>
      <c r="O82" s="528"/>
      <c r="P82" s="527"/>
      <c r="Q82" s="528"/>
      <c r="R82" s="528"/>
      <c r="S82" s="528"/>
      <c r="T82" s="528"/>
      <c r="U82" s="528"/>
      <c r="V82" s="527"/>
      <c r="W82" s="527"/>
      <c r="X82" s="527"/>
      <c r="Y82" s="527"/>
      <c r="Z82" s="527"/>
      <c r="AA82" s="527"/>
      <c r="AB82" s="527"/>
      <c r="AC82" s="527"/>
      <c r="AD82" s="527"/>
      <c r="AE82" s="527"/>
      <c r="AF82" s="527"/>
      <c r="AG82" s="527"/>
      <c r="AH82" s="527"/>
      <c r="AI82" s="536"/>
    </row>
    <row r="83">
      <c r="B83" s="644" t="s">
        <v>1597</v>
      </c>
      <c r="C83" s="528"/>
      <c r="D83" s="645" t="s">
        <v>4445</v>
      </c>
      <c r="E83" s="646"/>
      <c r="F83" s="528" t="s">
        <v>4508</v>
      </c>
      <c r="G83" s="528"/>
      <c r="H83" s="527"/>
      <c r="I83" s="527"/>
      <c r="J83" s="528"/>
      <c r="K83" s="527"/>
      <c r="L83" s="528"/>
      <c r="M83" s="528"/>
      <c r="N83" s="528"/>
      <c r="O83" s="528"/>
      <c r="P83" s="527"/>
      <c r="Q83" s="528"/>
      <c r="R83" s="528"/>
      <c r="S83" s="528"/>
      <c r="T83" s="528"/>
      <c r="U83" s="528"/>
      <c r="V83" s="527"/>
      <c r="W83" s="527"/>
      <c r="X83" s="527"/>
      <c r="Y83" s="527"/>
      <c r="Z83" s="527"/>
      <c r="AA83" s="527"/>
      <c r="AB83" s="527"/>
      <c r="AC83" s="527"/>
      <c r="AD83" s="527"/>
      <c r="AE83" s="527"/>
      <c r="AF83" s="527"/>
      <c r="AG83" s="527"/>
      <c r="AH83" s="527"/>
      <c r="AI83" s="536"/>
    </row>
    <row r="84">
      <c r="B84" s="644" t="s">
        <v>1592</v>
      </c>
      <c r="C84" s="533" t="s">
        <v>4446</v>
      </c>
      <c r="D84" s="645" t="s">
        <v>4447</v>
      </c>
      <c r="E84" s="646" t="s">
        <v>3728</v>
      </c>
      <c r="F84" s="528"/>
      <c r="G84" s="528"/>
      <c r="H84" s="527"/>
      <c r="I84" s="527"/>
      <c r="J84" s="528"/>
      <c r="K84" s="527"/>
      <c r="L84" s="528"/>
      <c r="M84" s="528"/>
      <c r="N84" s="528"/>
      <c r="O84" s="528"/>
      <c r="P84" s="527"/>
      <c r="Q84" s="528"/>
      <c r="R84" s="528"/>
      <c r="S84" s="528"/>
      <c r="T84" s="528"/>
      <c r="U84" s="528"/>
      <c r="V84" s="527"/>
      <c r="W84" s="527"/>
      <c r="X84" s="527"/>
      <c r="Y84" s="527"/>
      <c r="Z84" s="527"/>
      <c r="AA84" s="527"/>
      <c r="AB84" s="527"/>
      <c r="AC84" s="527"/>
      <c r="AD84" s="527"/>
      <c r="AE84" s="527"/>
      <c r="AF84" s="527"/>
      <c r="AG84" s="527"/>
      <c r="AH84" s="527"/>
      <c r="AI84" s="536"/>
    </row>
    <row r="85">
      <c r="B85" s="644" t="s">
        <v>4448</v>
      </c>
      <c r="C85" s="533" t="s">
        <v>4449</v>
      </c>
      <c r="D85" s="645" t="s">
        <v>4450</v>
      </c>
      <c r="E85" s="646" t="s">
        <v>3728</v>
      </c>
      <c r="F85" s="528"/>
      <c r="G85" s="528"/>
      <c r="H85" s="527"/>
      <c r="I85" s="527"/>
      <c r="J85" s="528"/>
      <c r="K85" s="527"/>
      <c r="L85" s="528"/>
      <c r="M85" s="528"/>
      <c r="N85" s="528"/>
      <c r="O85" s="528"/>
      <c r="P85" s="527"/>
      <c r="Q85" s="528"/>
      <c r="R85" s="528"/>
      <c r="S85" s="528"/>
      <c r="T85" s="528"/>
      <c r="U85" s="528"/>
      <c r="V85" s="527"/>
      <c r="W85" s="527"/>
      <c r="X85" s="527"/>
      <c r="Y85" s="527"/>
      <c r="Z85" s="527"/>
      <c r="AA85" s="527"/>
      <c r="AB85" s="527"/>
      <c r="AC85" s="527"/>
      <c r="AD85" s="527"/>
      <c r="AE85" s="527"/>
      <c r="AF85" s="527"/>
      <c r="AG85" s="527"/>
      <c r="AH85" s="527"/>
      <c r="AI85" s="536"/>
    </row>
    <row r="86">
      <c r="B86" s="644" t="s">
        <v>4448</v>
      </c>
      <c r="C86" s="533" t="s">
        <v>4451</v>
      </c>
      <c r="D86" s="645" t="s">
        <v>2565</v>
      </c>
      <c r="E86" s="646"/>
      <c r="F86" s="528" t="s">
        <v>4260</v>
      </c>
      <c r="G86" s="528"/>
      <c r="H86" s="527"/>
      <c r="I86" s="527"/>
      <c r="J86" s="528"/>
      <c r="K86" s="527"/>
      <c r="L86" s="528"/>
      <c r="M86" s="528"/>
      <c r="N86" s="528"/>
      <c r="O86" s="528"/>
      <c r="P86" s="527"/>
      <c r="Q86" s="528"/>
      <c r="R86" s="528"/>
      <c r="S86" s="528"/>
      <c r="T86" s="528"/>
      <c r="U86" s="528"/>
      <c r="V86" s="527"/>
      <c r="W86" s="527"/>
      <c r="X86" s="527"/>
      <c r="Y86" s="527"/>
      <c r="Z86" s="527"/>
      <c r="AA86" s="527"/>
      <c r="AB86" s="527"/>
      <c r="AC86" s="527"/>
      <c r="AD86" s="527"/>
      <c r="AE86" s="527"/>
      <c r="AF86" s="527"/>
      <c r="AG86" s="527"/>
      <c r="AH86" s="527"/>
      <c r="AI86" s="536"/>
    </row>
    <row r="87">
      <c r="B87" s="644" t="s">
        <v>1580</v>
      </c>
      <c r="C87" s="533" t="s">
        <v>4452</v>
      </c>
      <c r="D87" s="645" t="s">
        <v>3868</v>
      </c>
      <c r="E87" s="646"/>
      <c r="F87" s="528" t="s">
        <v>4260</v>
      </c>
      <c r="G87" s="528"/>
      <c r="H87" s="527"/>
      <c r="I87" s="527"/>
      <c r="J87" s="528"/>
      <c r="K87" s="527"/>
      <c r="L87" s="528"/>
      <c r="M87" s="528"/>
      <c r="N87" s="528"/>
      <c r="O87" s="528"/>
      <c r="P87" s="527"/>
      <c r="Q87" s="528"/>
      <c r="R87" s="528"/>
      <c r="S87" s="528"/>
      <c r="T87" s="528"/>
      <c r="U87" s="528"/>
      <c r="V87" s="527"/>
      <c r="W87" s="527"/>
      <c r="X87" s="527"/>
      <c r="Y87" s="527"/>
      <c r="Z87" s="527"/>
      <c r="AA87" s="527"/>
      <c r="AB87" s="527"/>
      <c r="AC87" s="527"/>
      <c r="AD87" s="527"/>
      <c r="AE87" s="527"/>
      <c r="AF87" s="527"/>
      <c r="AG87" s="527"/>
      <c r="AH87" s="527"/>
      <c r="AI87" s="536"/>
    </row>
    <row r="88">
      <c r="B88" s="644" t="s">
        <v>1575</v>
      </c>
      <c r="C88" s="533" t="s">
        <v>4453</v>
      </c>
      <c r="D88" s="645" t="s">
        <v>173</v>
      </c>
      <c r="E88" s="646"/>
      <c r="F88" s="528" t="s">
        <v>4260</v>
      </c>
      <c r="G88" s="528"/>
      <c r="H88" s="527"/>
      <c r="I88" s="527"/>
      <c r="J88" s="528"/>
      <c r="K88" s="527"/>
      <c r="L88" s="528"/>
      <c r="M88" s="528"/>
      <c r="N88" s="528"/>
      <c r="O88" s="528"/>
      <c r="P88" s="527"/>
      <c r="Q88" s="528"/>
      <c r="R88" s="528"/>
      <c r="S88" s="528"/>
      <c r="T88" s="528"/>
      <c r="U88" s="528"/>
      <c r="V88" s="527"/>
      <c r="W88" s="527"/>
      <c r="X88" s="527"/>
      <c r="Y88" s="527"/>
      <c r="Z88" s="527"/>
      <c r="AA88" s="527"/>
      <c r="AB88" s="527"/>
      <c r="AC88" s="527"/>
      <c r="AD88" s="527"/>
      <c r="AE88" s="527"/>
      <c r="AF88" s="527"/>
      <c r="AG88" s="527"/>
      <c r="AH88" s="527"/>
      <c r="AI88" s="536"/>
    </row>
    <row r="89">
      <c r="B89" s="644" t="s">
        <v>1570</v>
      </c>
      <c r="C89" s="533" t="s">
        <v>4454</v>
      </c>
      <c r="D89" s="645" t="s">
        <v>642</v>
      </c>
      <c r="E89" s="646" t="s">
        <v>4348</v>
      </c>
      <c r="F89" s="528"/>
      <c r="G89" s="528"/>
      <c r="H89" s="527"/>
      <c r="I89" s="527"/>
      <c r="J89" s="528"/>
      <c r="K89" s="527"/>
      <c r="L89" s="528"/>
      <c r="M89" s="528"/>
      <c r="N89" s="528"/>
      <c r="O89" s="528"/>
      <c r="P89" s="527"/>
      <c r="Q89" s="528"/>
      <c r="R89" s="528"/>
      <c r="S89" s="528"/>
      <c r="T89" s="528"/>
      <c r="U89" s="528"/>
      <c r="V89" s="527"/>
      <c r="W89" s="527"/>
      <c r="X89" s="527"/>
      <c r="Y89" s="527"/>
      <c r="Z89" s="527"/>
      <c r="AA89" s="527"/>
      <c r="AB89" s="527"/>
      <c r="AC89" s="527"/>
      <c r="AD89" s="527"/>
      <c r="AE89" s="527"/>
      <c r="AF89" s="527"/>
      <c r="AG89" s="527"/>
      <c r="AH89" s="527"/>
      <c r="AI89" s="536"/>
    </row>
    <row r="90">
      <c r="B90" s="644" t="s">
        <v>4455</v>
      </c>
      <c r="C90" s="533" t="s">
        <v>4456</v>
      </c>
      <c r="D90" s="645" t="s">
        <v>4457</v>
      </c>
      <c r="E90" s="646"/>
      <c r="F90" s="528" t="s">
        <v>4260</v>
      </c>
      <c r="G90" s="528"/>
      <c r="H90" s="527"/>
      <c r="I90" s="527"/>
      <c r="J90" s="528"/>
      <c r="K90" s="527"/>
      <c r="L90" s="528"/>
      <c r="M90" s="528"/>
      <c r="N90" s="528"/>
      <c r="O90" s="528"/>
      <c r="P90" s="527"/>
      <c r="Q90" s="528"/>
      <c r="R90" s="528"/>
      <c r="S90" s="528"/>
      <c r="T90" s="528"/>
      <c r="U90" s="528">
        <v>1.0</v>
      </c>
      <c r="V90" s="527"/>
      <c r="W90" s="527"/>
      <c r="X90" s="527"/>
      <c r="Y90" s="527"/>
      <c r="Z90" s="527"/>
      <c r="AA90" s="527"/>
      <c r="AB90" s="527"/>
      <c r="AC90" s="527"/>
      <c r="AD90" s="527"/>
      <c r="AE90" s="527"/>
      <c r="AF90" s="527"/>
      <c r="AG90" s="527"/>
      <c r="AH90" s="527"/>
      <c r="AI90" s="536"/>
    </row>
    <row r="91">
      <c r="B91" s="644" t="s">
        <v>4455</v>
      </c>
      <c r="C91" s="533" t="s">
        <v>4458</v>
      </c>
      <c r="D91" s="645" t="s">
        <v>3877</v>
      </c>
      <c r="E91" s="646"/>
      <c r="F91" s="528" t="s">
        <v>4260</v>
      </c>
      <c r="G91" s="528"/>
      <c r="H91" s="527"/>
      <c r="I91" s="527"/>
      <c r="J91" s="528"/>
      <c r="K91" s="527"/>
      <c r="L91" s="528"/>
      <c r="M91" s="528"/>
      <c r="N91" s="528"/>
      <c r="O91" s="528"/>
      <c r="P91" s="527"/>
      <c r="Q91" s="528"/>
      <c r="R91" s="528"/>
      <c r="S91" s="528"/>
      <c r="T91" s="528"/>
      <c r="U91" s="528">
        <v>1.0</v>
      </c>
      <c r="V91" s="527"/>
      <c r="W91" s="527"/>
      <c r="X91" s="527"/>
      <c r="Y91" s="527"/>
      <c r="Z91" s="527"/>
      <c r="AA91" s="527"/>
      <c r="AB91" s="527"/>
      <c r="AC91" s="527"/>
      <c r="AD91" s="527"/>
      <c r="AE91" s="527"/>
      <c r="AF91" s="527"/>
      <c r="AG91" s="527"/>
      <c r="AH91" s="527"/>
      <c r="AI91" s="536"/>
    </row>
    <row r="92">
      <c r="B92" s="644" t="s">
        <v>4459</v>
      </c>
      <c r="C92" s="533" t="s">
        <v>4460</v>
      </c>
      <c r="D92" s="645" t="s">
        <v>4461</v>
      </c>
      <c r="E92" s="646" t="s">
        <v>3728</v>
      </c>
      <c r="F92" s="528"/>
      <c r="G92" s="528"/>
      <c r="H92" s="527"/>
      <c r="I92" s="527"/>
      <c r="J92" s="528"/>
      <c r="K92" s="527"/>
      <c r="L92" s="528"/>
      <c r="M92" s="528"/>
      <c r="N92" s="528"/>
      <c r="O92" s="528"/>
      <c r="P92" s="527"/>
      <c r="Q92" s="528"/>
      <c r="R92" s="528"/>
      <c r="S92" s="528"/>
      <c r="T92" s="528"/>
      <c r="U92" s="528"/>
      <c r="V92" s="527"/>
      <c r="W92" s="527"/>
      <c r="X92" s="527"/>
      <c r="Y92" s="527"/>
      <c r="Z92" s="527"/>
      <c r="AA92" s="527"/>
      <c r="AB92" s="527"/>
      <c r="AC92" s="527"/>
      <c r="AD92" s="527"/>
      <c r="AE92" s="527"/>
      <c r="AF92" s="527"/>
      <c r="AG92" s="527"/>
      <c r="AH92" s="527"/>
      <c r="AI92" s="536"/>
    </row>
    <row r="93">
      <c r="B93" s="644" t="s">
        <v>4459</v>
      </c>
      <c r="C93" s="533" t="s">
        <v>4462</v>
      </c>
      <c r="D93" s="645" t="s">
        <v>3769</v>
      </c>
      <c r="E93" s="646"/>
      <c r="F93" s="528"/>
      <c r="G93" s="528"/>
      <c r="H93" s="527"/>
      <c r="I93" s="527"/>
      <c r="J93" s="528"/>
      <c r="K93" s="527"/>
      <c r="L93" s="528"/>
      <c r="M93" s="528"/>
      <c r="N93" s="528"/>
      <c r="O93" s="528"/>
      <c r="P93" s="527"/>
      <c r="Q93" s="528"/>
      <c r="R93" s="528"/>
      <c r="S93" s="528"/>
      <c r="T93" s="528"/>
      <c r="U93" s="528"/>
      <c r="V93" s="527"/>
      <c r="W93" s="527"/>
      <c r="X93" s="527"/>
      <c r="Y93" s="527"/>
      <c r="Z93" s="527"/>
      <c r="AA93" s="527"/>
      <c r="AB93" s="527"/>
      <c r="AC93" s="527"/>
      <c r="AD93" s="527"/>
      <c r="AE93" s="527"/>
      <c r="AF93" s="527"/>
      <c r="AG93" s="527"/>
      <c r="AH93" s="527"/>
      <c r="AI93" s="536"/>
    </row>
    <row r="94">
      <c r="B94" s="644" t="s">
        <v>1552</v>
      </c>
      <c r="C94" s="533" t="s">
        <v>4463</v>
      </c>
      <c r="D94" s="645" t="s">
        <v>4464</v>
      </c>
      <c r="E94" s="646" t="s">
        <v>3728</v>
      </c>
      <c r="F94" s="528"/>
      <c r="G94" s="528"/>
      <c r="H94" s="527"/>
      <c r="I94" s="527"/>
      <c r="J94" s="528"/>
      <c r="K94" s="527"/>
      <c r="L94" s="528"/>
      <c r="M94" s="528"/>
      <c r="N94" s="528"/>
      <c r="O94" s="528"/>
      <c r="P94" s="527"/>
      <c r="Q94" s="528"/>
      <c r="R94" s="528"/>
      <c r="S94" s="528"/>
      <c r="T94" s="528"/>
      <c r="U94" s="528"/>
      <c r="V94" s="527"/>
      <c r="W94" s="527"/>
      <c r="X94" s="527"/>
      <c r="Y94" s="527"/>
      <c r="Z94" s="527"/>
      <c r="AA94" s="527"/>
      <c r="AB94" s="527"/>
      <c r="AC94" s="527"/>
      <c r="AD94" s="527"/>
      <c r="AE94" s="527"/>
      <c r="AF94" s="527"/>
      <c r="AG94" s="527"/>
      <c r="AH94" s="527"/>
      <c r="AI94" s="536"/>
    </row>
    <row r="95">
      <c r="B95" s="644" t="s">
        <v>4465</v>
      </c>
      <c r="C95" s="533" t="s">
        <v>4466</v>
      </c>
      <c r="D95" s="645" t="s">
        <v>4467</v>
      </c>
      <c r="E95" s="646" t="s">
        <v>4509</v>
      </c>
      <c r="F95" s="528"/>
      <c r="G95" s="528"/>
      <c r="H95" s="527"/>
      <c r="I95" s="527"/>
      <c r="J95" s="528"/>
      <c r="K95" s="527"/>
      <c r="L95" s="528"/>
      <c r="M95" s="528"/>
      <c r="N95" s="528"/>
      <c r="O95" s="528"/>
      <c r="P95" s="527"/>
      <c r="Q95" s="528"/>
      <c r="R95" s="528"/>
      <c r="S95" s="528"/>
      <c r="T95" s="528"/>
      <c r="U95" s="528"/>
      <c r="V95" s="527"/>
      <c r="W95" s="527"/>
      <c r="X95" s="527"/>
      <c r="Y95" s="527"/>
      <c r="Z95" s="527"/>
      <c r="AA95" s="527"/>
      <c r="AB95" s="527"/>
      <c r="AC95" s="527"/>
      <c r="AD95" s="527"/>
      <c r="AE95" s="527"/>
      <c r="AF95" s="527"/>
      <c r="AG95" s="527"/>
      <c r="AH95" s="527"/>
      <c r="AI95" s="536"/>
    </row>
    <row r="96">
      <c r="B96" s="644" t="s">
        <v>4465</v>
      </c>
      <c r="C96" s="533" t="s">
        <v>4466</v>
      </c>
      <c r="D96" s="645" t="s">
        <v>4468</v>
      </c>
      <c r="E96" s="646" t="s">
        <v>4348</v>
      </c>
      <c r="F96" s="528"/>
      <c r="G96" s="528"/>
      <c r="H96" s="527"/>
      <c r="I96" s="527"/>
      <c r="J96" s="528"/>
      <c r="K96" s="527"/>
      <c r="L96" s="528"/>
      <c r="M96" s="528"/>
      <c r="N96" s="528"/>
      <c r="O96" s="528"/>
      <c r="P96" s="527"/>
      <c r="Q96" s="528"/>
      <c r="R96" s="528"/>
      <c r="S96" s="528"/>
      <c r="T96" s="528"/>
      <c r="U96" s="528"/>
      <c r="V96" s="527"/>
      <c r="W96" s="527"/>
      <c r="X96" s="527"/>
      <c r="Y96" s="527"/>
      <c r="Z96" s="527"/>
      <c r="AA96" s="527"/>
      <c r="AB96" s="527"/>
      <c r="AC96" s="527"/>
      <c r="AD96" s="527"/>
      <c r="AE96" s="527"/>
      <c r="AF96" s="527"/>
      <c r="AG96" s="527"/>
      <c r="AH96" s="527"/>
      <c r="AI96" s="536"/>
    </row>
    <row r="97">
      <c r="B97" s="644" t="s">
        <v>1539</v>
      </c>
      <c r="C97" s="533" t="s">
        <v>4469</v>
      </c>
      <c r="D97" s="645" t="s">
        <v>4470</v>
      </c>
      <c r="E97" s="646"/>
      <c r="F97" s="528" t="s">
        <v>4496</v>
      </c>
      <c r="G97" s="528"/>
      <c r="H97" s="527"/>
      <c r="I97" s="527"/>
      <c r="J97" s="528"/>
      <c r="K97" s="527"/>
      <c r="L97" s="528"/>
      <c r="M97" s="528"/>
      <c r="N97" s="528"/>
      <c r="O97" s="528"/>
      <c r="P97" s="527"/>
      <c r="Q97" s="528"/>
      <c r="R97" s="528"/>
      <c r="S97" s="528"/>
      <c r="T97" s="528"/>
      <c r="U97" s="528"/>
      <c r="V97" s="527"/>
      <c r="W97" s="527"/>
      <c r="X97" s="527"/>
      <c r="Y97" s="527"/>
      <c r="Z97" s="527"/>
      <c r="AA97" s="527"/>
      <c r="AB97" s="527"/>
      <c r="AC97" s="527"/>
      <c r="AD97" s="527"/>
      <c r="AE97" s="527"/>
      <c r="AF97" s="527"/>
      <c r="AG97" s="527"/>
      <c r="AH97" s="527"/>
      <c r="AI97" s="536"/>
    </row>
    <row r="98">
      <c r="B98" s="644" t="s">
        <v>4471</v>
      </c>
      <c r="C98" s="533" t="s">
        <v>4472</v>
      </c>
      <c r="D98" s="645" t="s">
        <v>4473</v>
      </c>
      <c r="E98" s="646" t="s">
        <v>3728</v>
      </c>
      <c r="F98" s="528"/>
      <c r="G98" s="528"/>
      <c r="H98" s="527"/>
      <c r="I98" s="527"/>
      <c r="J98" s="528"/>
      <c r="K98" s="527"/>
      <c r="L98" s="528"/>
      <c r="M98" s="528"/>
      <c r="N98" s="528"/>
      <c r="O98" s="528"/>
      <c r="P98" s="527"/>
      <c r="Q98" s="528"/>
      <c r="R98" s="528"/>
      <c r="S98" s="528"/>
      <c r="T98" s="528"/>
      <c r="U98" s="528"/>
      <c r="V98" s="527"/>
      <c r="W98" s="527"/>
      <c r="X98" s="527"/>
      <c r="Y98" s="527"/>
      <c r="Z98" s="527"/>
      <c r="AA98" s="527"/>
      <c r="AB98" s="527"/>
      <c r="AC98" s="527"/>
      <c r="AD98" s="527"/>
      <c r="AE98" s="527"/>
      <c r="AF98" s="527"/>
      <c r="AG98" s="527"/>
      <c r="AH98" s="527"/>
      <c r="AI98" s="536"/>
    </row>
    <row r="99">
      <c r="B99" s="644" t="s">
        <v>4471</v>
      </c>
      <c r="C99" s="533" t="s">
        <v>4474</v>
      </c>
      <c r="D99" s="645" t="s">
        <v>4475</v>
      </c>
      <c r="E99" s="646"/>
      <c r="F99" s="528" t="s">
        <v>4510</v>
      </c>
      <c r="G99" s="528"/>
      <c r="H99" s="527"/>
      <c r="I99" s="527"/>
      <c r="J99" s="528"/>
      <c r="K99" s="527"/>
      <c r="L99" s="528"/>
      <c r="M99" s="528"/>
      <c r="N99" s="528"/>
      <c r="O99" s="528"/>
      <c r="P99" s="527"/>
      <c r="Q99" s="528"/>
      <c r="R99" s="528"/>
      <c r="S99" s="528"/>
      <c r="T99" s="528"/>
      <c r="U99" s="528"/>
      <c r="V99" s="527"/>
      <c r="W99" s="527"/>
      <c r="X99" s="527"/>
      <c r="Y99" s="527"/>
      <c r="Z99" s="527"/>
      <c r="AA99" s="527"/>
      <c r="AB99" s="527"/>
      <c r="AC99" s="527"/>
      <c r="AD99" s="527"/>
      <c r="AE99" s="527"/>
      <c r="AF99" s="527"/>
      <c r="AG99" s="527"/>
      <c r="AH99" s="527"/>
      <c r="AI99" s="536"/>
    </row>
    <row r="100">
      <c r="B100" s="644" t="s">
        <v>1528</v>
      </c>
      <c r="C100" s="533" t="s">
        <v>4476</v>
      </c>
      <c r="D100" s="645" t="s">
        <v>129</v>
      </c>
      <c r="E100" s="646"/>
      <c r="F100" s="528" t="s">
        <v>4496</v>
      </c>
      <c r="G100" s="528"/>
      <c r="H100" s="527"/>
      <c r="I100" s="527"/>
      <c r="J100" s="528"/>
      <c r="K100" s="527"/>
      <c r="L100" s="528"/>
      <c r="M100" s="528"/>
      <c r="N100" s="528"/>
      <c r="O100" s="528"/>
      <c r="P100" s="527"/>
      <c r="Q100" s="528"/>
      <c r="R100" s="528"/>
      <c r="S100" s="528"/>
      <c r="T100" s="528"/>
      <c r="U100" s="528"/>
      <c r="V100" s="527"/>
      <c r="W100" s="527"/>
      <c r="X100" s="527"/>
      <c r="Y100" s="527"/>
      <c r="Z100" s="527"/>
      <c r="AA100" s="527"/>
      <c r="AB100" s="527"/>
      <c r="AC100" s="527"/>
      <c r="AD100" s="527"/>
      <c r="AE100" s="527"/>
      <c r="AF100" s="527"/>
      <c r="AG100" s="527"/>
      <c r="AH100" s="527"/>
      <c r="AI100" s="536"/>
    </row>
    <row r="101">
      <c r="B101" s="644" t="s">
        <v>1523</v>
      </c>
      <c r="C101" s="533" t="s">
        <v>4477</v>
      </c>
      <c r="D101" s="645" t="s">
        <v>4478</v>
      </c>
      <c r="E101" s="646"/>
      <c r="F101" s="528" t="s">
        <v>4260</v>
      </c>
      <c r="G101" s="528"/>
      <c r="H101" s="527"/>
      <c r="I101" s="527"/>
      <c r="J101" s="528"/>
      <c r="K101" s="527"/>
      <c r="L101" s="528"/>
      <c r="M101" s="528"/>
      <c r="N101" s="528"/>
      <c r="O101" s="528"/>
      <c r="P101" s="527"/>
      <c r="Q101" s="528"/>
      <c r="R101" s="528"/>
      <c r="S101" s="528"/>
      <c r="T101" s="528"/>
      <c r="U101" s="528"/>
      <c r="V101" s="527"/>
      <c r="W101" s="527"/>
      <c r="X101" s="527"/>
      <c r="Y101" s="527"/>
      <c r="Z101" s="527"/>
      <c r="AA101" s="527"/>
      <c r="AB101" s="527"/>
      <c r="AC101" s="527"/>
      <c r="AD101" s="527"/>
      <c r="AE101" s="527"/>
      <c r="AF101" s="527"/>
      <c r="AG101" s="527"/>
      <c r="AH101" s="527"/>
      <c r="AI101" s="536"/>
    </row>
    <row r="102">
      <c r="B102" s="644" t="s">
        <v>1518</v>
      </c>
      <c r="C102" s="533" t="s">
        <v>4479</v>
      </c>
      <c r="D102" s="645" t="s">
        <v>4480</v>
      </c>
      <c r="E102" s="646" t="s">
        <v>3728</v>
      </c>
      <c r="F102" s="528"/>
      <c r="G102" s="528"/>
      <c r="H102" s="527"/>
      <c r="I102" s="527"/>
      <c r="J102" s="528"/>
      <c r="K102" s="527"/>
      <c r="L102" s="528"/>
      <c r="M102" s="528"/>
      <c r="N102" s="528"/>
      <c r="O102" s="528"/>
      <c r="P102" s="527"/>
      <c r="Q102" s="528"/>
      <c r="R102" s="528"/>
      <c r="S102" s="528"/>
      <c r="T102" s="528"/>
      <c r="U102" s="528"/>
      <c r="V102" s="527"/>
      <c r="W102" s="527"/>
      <c r="X102" s="527"/>
      <c r="Y102" s="527"/>
      <c r="Z102" s="527"/>
      <c r="AA102" s="527"/>
      <c r="AB102" s="527"/>
      <c r="AC102" s="527"/>
      <c r="AD102" s="527"/>
      <c r="AE102" s="527"/>
      <c r="AF102" s="527"/>
      <c r="AG102" s="527"/>
      <c r="AH102" s="527"/>
      <c r="AI102" s="536"/>
    </row>
    <row r="103">
      <c r="B103" s="644" t="s">
        <v>4481</v>
      </c>
      <c r="C103" s="533" t="s">
        <v>4482</v>
      </c>
      <c r="D103" s="645" t="s">
        <v>4483</v>
      </c>
      <c r="E103" s="646"/>
      <c r="F103" s="528" t="s">
        <v>4511</v>
      </c>
      <c r="G103" s="528"/>
      <c r="H103" s="527"/>
      <c r="I103" s="527"/>
      <c r="J103" s="528"/>
      <c r="K103" s="527"/>
      <c r="L103" s="528"/>
      <c r="M103" s="528"/>
      <c r="N103" s="528"/>
      <c r="O103" s="528"/>
      <c r="P103" s="527"/>
      <c r="Q103" s="528"/>
      <c r="R103" s="528"/>
      <c r="S103" s="528"/>
      <c r="T103" s="528"/>
      <c r="U103" s="528"/>
      <c r="V103" s="527"/>
      <c r="W103" s="527"/>
      <c r="X103" s="527"/>
      <c r="Y103" s="527"/>
      <c r="Z103" s="527"/>
      <c r="AA103" s="527"/>
      <c r="AB103" s="527"/>
      <c r="AC103" s="527"/>
      <c r="AD103" s="527"/>
      <c r="AE103" s="527"/>
      <c r="AF103" s="527"/>
      <c r="AG103" s="527"/>
      <c r="AH103" s="527"/>
      <c r="AI103" s="536"/>
    </row>
    <row r="104">
      <c r="A104" s="648" t="s">
        <v>1893</v>
      </c>
      <c r="B104" s="649" t="s">
        <v>1970</v>
      </c>
      <c r="C104" s="542" t="s">
        <v>3726</v>
      </c>
      <c r="D104" s="650" t="s">
        <v>3724</v>
      </c>
      <c r="E104" s="647"/>
      <c r="F104" s="537" t="s">
        <v>4486</v>
      </c>
      <c r="G104" s="537"/>
      <c r="H104" s="537"/>
      <c r="I104" s="537">
        <v>1.0</v>
      </c>
      <c r="J104" s="536"/>
      <c r="K104" s="537">
        <v>1.0</v>
      </c>
      <c r="L104" s="536"/>
      <c r="M104" s="537">
        <v>1.0</v>
      </c>
      <c r="N104" s="536"/>
      <c r="O104" s="537">
        <v>1.0</v>
      </c>
      <c r="P104" s="536"/>
      <c r="Q104" s="536"/>
      <c r="R104" s="537">
        <v>1.0</v>
      </c>
      <c r="S104" s="537"/>
      <c r="T104" s="537"/>
      <c r="U104" s="537" t="str">
        <f t="shared" ref="U104:U268" si="1">if(C104 = "No fork...", 1,)</f>
        <v/>
      </c>
      <c r="V104" s="536"/>
      <c r="W104" s="536"/>
      <c r="X104" s="536"/>
      <c r="Y104" s="536"/>
      <c r="Z104" s="536"/>
      <c r="AA104" s="536"/>
      <c r="AB104" s="536"/>
      <c r="AC104" s="536"/>
      <c r="AD104" s="536"/>
      <c r="AE104" s="536"/>
      <c r="AF104" s="536"/>
      <c r="AG104" s="536"/>
      <c r="AH104" s="536"/>
      <c r="AI104" s="536"/>
    </row>
    <row r="105">
      <c r="B105" s="649" t="s">
        <v>1965</v>
      </c>
      <c r="C105" s="542" t="s">
        <v>3729</v>
      </c>
      <c r="D105" s="650" t="s">
        <v>3727</v>
      </c>
      <c r="E105" s="642" t="s">
        <v>3728</v>
      </c>
      <c r="F105" s="703"/>
      <c r="G105" s="537"/>
      <c r="H105" s="537"/>
      <c r="I105" s="536"/>
      <c r="J105" s="536"/>
      <c r="K105" s="536"/>
      <c r="L105" s="536"/>
      <c r="M105" s="536"/>
      <c r="N105" s="536"/>
      <c r="O105" s="536"/>
      <c r="P105" s="536"/>
      <c r="Q105" s="536"/>
      <c r="R105" s="536"/>
      <c r="S105" s="537"/>
      <c r="T105" s="537"/>
      <c r="U105" s="537" t="str">
        <f t="shared" si="1"/>
        <v/>
      </c>
      <c r="V105" s="536"/>
      <c r="W105" s="536"/>
      <c r="X105" s="536"/>
      <c r="Y105" s="536"/>
      <c r="Z105" s="536"/>
      <c r="AA105" s="536"/>
      <c r="AB105" s="536"/>
      <c r="AC105" s="536"/>
      <c r="AD105" s="536"/>
      <c r="AE105" s="536"/>
      <c r="AF105" s="536"/>
      <c r="AG105" s="536"/>
      <c r="AH105" s="536"/>
      <c r="AI105" s="536"/>
    </row>
    <row r="106">
      <c r="B106" s="649" t="s">
        <v>1960</v>
      </c>
      <c r="C106" s="542" t="s">
        <v>3731</v>
      </c>
      <c r="D106" s="650" t="s">
        <v>3730</v>
      </c>
      <c r="E106" s="642" t="s">
        <v>1263</v>
      </c>
      <c r="F106" s="703"/>
      <c r="G106" s="537"/>
      <c r="H106" s="537"/>
      <c r="I106" s="536"/>
      <c r="J106" s="536"/>
      <c r="K106" s="537">
        <v>1.0</v>
      </c>
      <c r="L106" s="536"/>
      <c r="M106" s="536"/>
      <c r="N106" s="536"/>
      <c r="O106" s="537"/>
      <c r="P106" s="537">
        <v>1.0</v>
      </c>
      <c r="Q106" s="536"/>
      <c r="R106" s="537">
        <v>1.0</v>
      </c>
      <c r="S106" s="537"/>
      <c r="T106" s="537"/>
      <c r="U106" s="537" t="str">
        <f t="shared" si="1"/>
        <v/>
      </c>
      <c r="V106" s="536"/>
      <c r="W106" s="536"/>
      <c r="X106" s="536"/>
      <c r="Y106" s="536"/>
      <c r="Z106" s="536"/>
      <c r="AA106" s="536"/>
      <c r="AB106" s="536"/>
      <c r="AC106" s="536"/>
      <c r="AD106" s="536"/>
      <c r="AE106" s="536"/>
      <c r="AF106" s="536"/>
      <c r="AG106" s="536"/>
      <c r="AH106" s="536"/>
      <c r="AI106" s="536"/>
    </row>
    <row r="107">
      <c r="B107" s="649" t="s">
        <v>1955</v>
      </c>
      <c r="C107" s="542" t="s">
        <v>3733</v>
      </c>
      <c r="D107" s="650" t="s">
        <v>3732</v>
      </c>
      <c r="E107" s="642" t="s">
        <v>3728</v>
      </c>
      <c r="F107" s="703"/>
      <c r="G107" s="537"/>
      <c r="H107" s="537"/>
      <c r="I107" s="536"/>
      <c r="J107" s="536"/>
      <c r="K107" s="536"/>
      <c r="L107" s="536"/>
      <c r="M107" s="536"/>
      <c r="N107" s="536"/>
      <c r="O107" s="536"/>
      <c r="P107" s="536"/>
      <c r="Q107" s="536"/>
      <c r="R107" s="536"/>
      <c r="S107" s="537"/>
      <c r="T107" s="537"/>
      <c r="U107" s="537" t="str">
        <f t="shared" si="1"/>
        <v/>
      </c>
      <c r="V107" s="536"/>
      <c r="W107" s="536"/>
      <c r="X107" s="536"/>
      <c r="Y107" s="536"/>
      <c r="Z107" s="536"/>
      <c r="AA107" s="536"/>
      <c r="AB107" s="536"/>
      <c r="AC107" s="536"/>
      <c r="AD107" s="536"/>
      <c r="AE107" s="536"/>
      <c r="AF107" s="536"/>
      <c r="AG107" s="536"/>
      <c r="AH107" s="536"/>
      <c r="AI107" s="536"/>
    </row>
    <row r="108">
      <c r="B108" s="649" t="s">
        <v>1949</v>
      </c>
      <c r="C108" s="542" t="s">
        <v>3734</v>
      </c>
      <c r="D108" s="650" t="s">
        <v>875</v>
      </c>
      <c r="E108" s="647"/>
      <c r="F108" s="537" t="s">
        <v>4486</v>
      </c>
      <c r="G108" s="537"/>
      <c r="H108" s="537"/>
      <c r="I108" s="536"/>
      <c r="J108" s="537">
        <v>1.0</v>
      </c>
      <c r="K108" s="537">
        <v>1.0</v>
      </c>
      <c r="L108" s="536"/>
      <c r="M108" s="536"/>
      <c r="N108" s="536"/>
      <c r="O108" s="537"/>
      <c r="P108" s="537">
        <v>1.0</v>
      </c>
      <c r="Q108" s="536"/>
      <c r="R108" s="537">
        <v>1.0</v>
      </c>
      <c r="S108" s="537"/>
      <c r="T108" s="537">
        <v>1.0</v>
      </c>
      <c r="U108" s="537" t="str">
        <f t="shared" si="1"/>
        <v/>
      </c>
      <c r="V108" s="536"/>
      <c r="W108" s="536"/>
      <c r="X108" s="536"/>
      <c r="Y108" s="536"/>
      <c r="Z108" s="536"/>
      <c r="AA108" s="536"/>
      <c r="AB108" s="536"/>
      <c r="AC108" s="536"/>
      <c r="AD108" s="536"/>
      <c r="AE108" s="536"/>
      <c r="AF108" s="536"/>
      <c r="AG108" s="536"/>
      <c r="AH108" s="536"/>
      <c r="AI108" s="536"/>
    </row>
    <row r="109">
      <c r="B109" s="649" t="s">
        <v>1942</v>
      </c>
      <c r="C109" s="542" t="s">
        <v>3736</v>
      </c>
      <c r="D109" s="650" t="s">
        <v>3735</v>
      </c>
      <c r="E109" s="642" t="s">
        <v>3728</v>
      </c>
      <c r="F109" s="703"/>
      <c r="G109" s="537"/>
      <c r="H109" s="537"/>
      <c r="I109" s="536"/>
      <c r="J109" s="536"/>
      <c r="K109" s="536"/>
      <c r="L109" s="536"/>
      <c r="M109" s="536"/>
      <c r="N109" s="536"/>
      <c r="O109" s="536"/>
      <c r="P109" s="536"/>
      <c r="Q109" s="536"/>
      <c r="R109" s="536"/>
      <c r="S109" s="537"/>
      <c r="T109" s="537"/>
      <c r="U109" s="537" t="str">
        <f t="shared" si="1"/>
        <v/>
      </c>
      <c r="V109" s="536"/>
      <c r="W109" s="536"/>
      <c r="X109" s="536"/>
      <c r="Y109" s="536"/>
      <c r="Z109" s="536"/>
      <c r="AA109" s="536"/>
      <c r="AB109" s="536"/>
      <c r="AC109" s="536"/>
      <c r="AD109" s="536"/>
      <c r="AE109" s="536"/>
      <c r="AF109" s="536"/>
      <c r="AG109" s="536"/>
      <c r="AH109" s="536"/>
      <c r="AI109" s="536"/>
    </row>
    <row r="110">
      <c r="B110" s="649" t="s">
        <v>1936</v>
      </c>
      <c r="C110" s="542" t="s">
        <v>3738</v>
      </c>
      <c r="D110" s="650" t="s">
        <v>3737</v>
      </c>
      <c r="E110" s="642" t="s">
        <v>3728</v>
      </c>
      <c r="F110" s="703"/>
      <c r="G110" s="537"/>
      <c r="H110" s="537"/>
      <c r="I110" s="536"/>
      <c r="J110" s="536"/>
      <c r="K110" s="536"/>
      <c r="L110" s="536"/>
      <c r="M110" s="536"/>
      <c r="N110" s="536"/>
      <c r="O110" s="536"/>
      <c r="P110" s="536"/>
      <c r="Q110" s="536"/>
      <c r="R110" s="536"/>
      <c r="S110" s="537"/>
      <c r="T110" s="537"/>
      <c r="U110" s="537" t="str">
        <f t="shared" si="1"/>
        <v/>
      </c>
      <c r="V110" s="536"/>
      <c r="W110" s="536"/>
      <c r="X110" s="536"/>
      <c r="Y110" s="536"/>
      <c r="Z110" s="536"/>
      <c r="AA110" s="536"/>
      <c r="AB110" s="536"/>
      <c r="AC110" s="536"/>
      <c r="AD110" s="536"/>
      <c r="AE110" s="536"/>
      <c r="AF110" s="536"/>
      <c r="AG110" s="536"/>
      <c r="AH110" s="536"/>
      <c r="AI110" s="536"/>
    </row>
    <row r="111">
      <c r="B111" s="649" t="s">
        <v>1931</v>
      </c>
      <c r="C111" s="542" t="s">
        <v>3740</v>
      </c>
      <c r="D111" s="650" t="s">
        <v>3739</v>
      </c>
      <c r="E111" s="642" t="s">
        <v>3728</v>
      </c>
      <c r="F111" s="703"/>
      <c r="G111" s="537"/>
      <c r="H111" s="537"/>
      <c r="I111" s="536"/>
      <c r="J111" s="536"/>
      <c r="K111" s="536"/>
      <c r="L111" s="536"/>
      <c r="M111" s="536"/>
      <c r="N111" s="536"/>
      <c r="O111" s="536"/>
      <c r="P111" s="536"/>
      <c r="Q111" s="536"/>
      <c r="R111" s="536"/>
      <c r="S111" s="537"/>
      <c r="T111" s="537"/>
      <c r="U111" s="537" t="str">
        <f t="shared" si="1"/>
        <v/>
      </c>
      <c r="V111" s="536"/>
      <c r="W111" s="536"/>
      <c r="X111" s="536"/>
      <c r="Y111" s="536"/>
      <c r="Z111" s="536"/>
      <c r="AA111" s="536"/>
      <c r="AB111" s="536"/>
      <c r="AC111" s="536"/>
      <c r="AD111" s="536"/>
      <c r="AE111" s="536"/>
      <c r="AF111" s="536"/>
      <c r="AG111" s="536"/>
      <c r="AH111" s="536"/>
      <c r="AI111" s="536"/>
    </row>
    <row r="112">
      <c r="B112" s="649" t="s">
        <v>1926</v>
      </c>
      <c r="C112" s="542" t="s">
        <v>3743</v>
      </c>
      <c r="D112" s="650" t="s">
        <v>3741</v>
      </c>
      <c r="E112" s="647"/>
      <c r="F112" s="703" t="s">
        <v>4512</v>
      </c>
      <c r="G112" s="537"/>
      <c r="H112" s="537"/>
      <c r="I112" s="536"/>
      <c r="J112" s="536"/>
      <c r="K112" s="536"/>
      <c r="L112" s="536"/>
      <c r="M112" s="536"/>
      <c r="N112" s="536"/>
      <c r="O112" s="537">
        <v>1.0</v>
      </c>
      <c r="P112" s="536"/>
      <c r="Q112" s="536"/>
      <c r="R112" s="537">
        <v>1.0</v>
      </c>
      <c r="S112" s="537">
        <v>1.0</v>
      </c>
      <c r="T112" s="537"/>
      <c r="U112" s="537" t="str">
        <f t="shared" si="1"/>
        <v/>
      </c>
      <c r="V112" s="536"/>
      <c r="W112" s="536"/>
      <c r="X112" s="536"/>
      <c r="Y112" s="536"/>
      <c r="Z112" s="536"/>
      <c r="AA112" s="536"/>
      <c r="AB112" s="536"/>
      <c r="AC112" s="536"/>
      <c r="AD112" s="536"/>
      <c r="AE112" s="536"/>
      <c r="AF112" s="536"/>
      <c r="AG112" s="536"/>
      <c r="AH112" s="536"/>
      <c r="AI112" s="536"/>
    </row>
    <row r="113">
      <c r="B113" s="649" t="s">
        <v>1920</v>
      </c>
      <c r="C113" s="542" t="s">
        <v>3745</v>
      </c>
      <c r="D113" s="650" t="s">
        <v>3744</v>
      </c>
      <c r="E113" s="642" t="s">
        <v>3728</v>
      </c>
      <c r="F113" s="703"/>
      <c r="G113" s="537"/>
      <c r="H113" s="537"/>
      <c r="I113" s="536"/>
      <c r="J113" s="536"/>
      <c r="K113" s="536"/>
      <c r="L113" s="536"/>
      <c r="M113" s="536"/>
      <c r="N113" s="536"/>
      <c r="O113" s="536"/>
      <c r="P113" s="536"/>
      <c r="Q113" s="536"/>
      <c r="R113" s="536"/>
      <c r="S113" s="537"/>
      <c r="T113" s="537"/>
      <c r="U113" s="537" t="str">
        <f t="shared" si="1"/>
        <v/>
      </c>
      <c r="V113" s="536"/>
      <c r="W113" s="536"/>
      <c r="X113" s="536"/>
      <c r="Y113" s="536"/>
      <c r="Z113" s="536"/>
      <c r="AA113" s="536"/>
      <c r="AB113" s="536"/>
      <c r="AC113" s="536"/>
      <c r="AD113" s="536"/>
      <c r="AE113" s="536"/>
      <c r="AF113" s="536"/>
      <c r="AG113" s="536"/>
      <c r="AH113" s="536"/>
      <c r="AI113" s="536"/>
    </row>
    <row r="114">
      <c r="B114" s="649" t="s">
        <v>1914</v>
      </c>
      <c r="C114" s="542" t="s">
        <v>3747</v>
      </c>
      <c r="D114" s="650" t="s">
        <v>3746</v>
      </c>
      <c r="E114" s="642" t="s">
        <v>3728</v>
      </c>
      <c r="F114" s="703"/>
      <c r="G114" s="537"/>
      <c r="H114" s="537"/>
      <c r="I114" s="536"/>
      <c r="J114" s="536"/>
      <c r="K114" s="536"/>
      <c r="L114" s="536"/>
      <c r="M114" s="536"/>
      <c r="N114" s="536"/>
      <c r="O114" s="536"/>
      <c r="P114" s="536"/>
      <c r="Q114" s="536"/>
      <c r="R114" s="536"/>
      <c r="S114" s="537"/>
      <c r="T114" s="537"/>
      <c r="U114" s="537" t="str">
        <f t="shared" si="1"/>
        <v/>
      </c>
      <c r="V114" s="536"/>
      <c r="W114" s="536"/>
      <c r="X114" s="536"/>
      <c r="Y114" s="536"/>
      <c r="Z114" s="536"/>
      <c r="AA114" s="536"/>
      <c r="AB114" s="536"/>
      <c r="AC114" s="536"/>
      <c r="AD114" s="536"/>
      <c r="AE114" s="536"/>
      <c r="AF114" s="536"/>
      <c r="AG114" s="536"/>
      <c r="AH114" s="536"/>
      <c r="AI114" s="536"/>
    </row>
    <row r="115">
      <c r="B115" s="649" t="s">
        <v>1909</v>
      </c>
      <c r="C115" s="542" t="s">
        <v>3749</v>
      </c>
      <c r="D115" s="650" t="s">
        <v>3748</v>
      </c>
      <c r="E115" s="642" t="s">
        <v>3728</v>
      </c>
      <c r="F115" s="703"/>
      <c r="G115" s="537"/>
      <c r="H115" s="537"/>
      <c r="I115" s="536"/>
      <c r="J115" s="536"/>
      <c r="K115" s="536"/>
      <c r="L115" s="536"/>
      <c r="M115" s="536"/>
      <c r="N115" s="536"/>
      <c r="O115" s="536"/>
      <c r="P115" s="536"/>
      <c r="Q115" s="536"/>
      <c r="R115" s="536"/>
      <c r="S115" s="537"/>
      <c r="T115" s="537"/>
      <c r="U115" s="537" t="str">
        <f t="shared" si="1"/>
        <v/>
      </c>
      <c r="V115" s="536"/>
      <c r="W115" s="536"/>
      <c r="X115" s="536"/>
      <c r="Y115" s="536"/>
      <c r="Z115" s="536"/>
      <c r="AA115" s="536"/>
      <c r="AB115" s="536"/>
      <c r="AC115" s="536"/>
      <c r="AD115" s="536"/>
      <c r="AE115" s="536"/>
      <c r="AF115" s="536"/>
      <c r="AG115" s="536"/>
      <c r="AH115" s="536"/>
      <c r="AI115" s="536"/>
    </row>
    <row r="116">
      <c r="B116" s="649" t="s">
        <v>1904</v>
      </c>
      <c r="C116" s="542" t="s">
        <v>3751</v>
      </c>
      <c r="D116" s="650" t="s">
        <v>3750</v>
      </c>
      <c r="E116" s="642" t="s">
        <v>3728</v>
      </c>
      <c r="F116" s="703"/>
      <c r="G116" s="537"/>
      <c r="H116" s="537"/>
      <c r="I116" s="536"/>
      <c r="J116" s="536"/>
      <c r="K116" s="536"/>
      <c r="L116" s="536"/>
      <c r="M116" s="536"/>
      <c r="N116" s="536"/>
      <c r="O116" s="536"/>
      <c r="P116" s="536"/>
      <c r="Q116" s="536"/>
      <c r="R116" s="536"/>
      <c r="S116" s="537"/>
      <c r="T116" s="537"/>
      <c r="U116" s="537" t="str">
        <f t="shared" si="1"/>
        <v/>
      </c>
      <c r="V116" s="536"/>
      <c r="W116" s="536"/>
      <c r="X116" s="536"/>
      <c r="Y116" s="536"/>
      <c r="Z116" s="536"/>
      <c r="AA116" s="536"/>
      <c r="AB116" s="536"/>
      <c r="AC116" s="536"/>
      <c r="AD116" s="536"/>
      <c r="AE116" s="536"/>
      <c r="AF116" s="536"/>
      <c r="AG116" s="536"/>
      <c r="AH116" s="536"/>
      <c r="AI116" s="536"/>
    </row>
    <row r="117">
      <c r="B117" s="649" t="s">
        <v>1899</v>
      </c>
      <c r="C117" s="542" t="s">
        <v>3753</v>
      </c>
      <c r="D117" s="650" t="s">
        <v>3752</v>
      </c>
      <c r="E117" s="642" t="s">
        <v>3728</v>
      </c>
      <c r="F117" s="703"/>
      <c r="G117" s="537"/>
      <c r="H117" s="537"/>
      <c r="I117" s="536"/>
      <c r="J117" s="536"/>
      <c r="K117" s="536"/>
      <c r="L117" s="536"/>
      <c r="M117" s="536"/>
      <c r="N117" s="536"/>
      <c r="O117" s="536"/>
      <c r="P117" s="536"/>
      <c r="Q117" s="536"/>
      <c r="R117" s="536"/>
      <c r="S117" s="537"/>
      <c r="T117" s="537"/>
      <c r="U117" s="537" t="str">
        <f t="shared" si="1"/>
        <v/>
      </c>
      <c r="V117" s="536"/>
      <c r="W117" s="536"/>
      <c r="X117" s="536"/>
      <c r="Y117" s="536"/>
      <c r="Z117" s="536"/>
      <c r="AA117" s="536"/>
      <c r="AB117" s="536"/>
      <c r="AC117" s="536"/>
      <c r="AD117" s="536"/>
      <c r="AE117" s="536"/>
      <c r="AF117" s="536"/>
      <c r="AG117" s="536"/>
      <c r="AH117" s="536"/>
      <c r="AI117" s="536"/>
    </row>
    <row r="118">
      <c r="B118" s="649" t="s">
        <v>1894</v>
      </c>
      <c r="C118" s="542" t="s">
        <v>3756</v>
      </c>
      <c r="D118" s="650" t="s">
        <v>3754</v>
      </c>
      <c r="E118" s="647"/>
      <c r="F118" s="704"/>
      <c r="G118" s="537"/>
      <c r="H118" s="537"/>
      <c r="I118" s="536"/>
      <c r="J118" s="537">
        <v>1.0</v>
      </c>
      <c r="K118" s="537">
        <v>1.0</v>
      </c>
      <c r="L118" s="536"/>
      <c r="M118" s="537"/>
      <c r="N118" s="536"/>
      <c r="O118" s="537"/>
      <c r="P118" s="537">
        <v>1.0</v>
      </c>
      <c r="Q118" s="536"/>
      <c r="R118" s="537">
        <v>1.0</v>
      </c>
      <c r="S118" s="537"/>
      <c r="T118" s="537"/>
      <c r="U118" s="537" t="str">
        <f t="shared" si="1"/>
        <v/>
      </c>
      <c r="V118" s="536"/>
      <c r="W118" s="536"/>
      <c r="X118" s="536"/>
      <c r="Y118" s="536"/>
      <c r="Z118" s="536"/>
      <c r="AA118" s="536"/>
      <c r="AB118" s="536"/>
      <c r="AC118" s="536"/>
      <c r="AD118" s="536"/>
      <c r="AE118" s="536"/>
      <c r="AF118" s="536"/>
      <c r="AG118" s="536"/>
      <c r="AH118" s="536"/>
      <c r="AI118" s="536"/>
    </row>
    <row r="119">
      <c r="A119" s="651" t="s">
        <v>1840</v>
      </c>
      <c r="B119" s="525" t="s">
        <v>1888</v>
      </c>
      <c r="C119" s="533" t="s">
        <v>3758</v>
      </c>
      <c r="D119" s="526" t="s">
        <v>3757</v>
      </c>
      <c r="E119" s="652"/>
      <c r="F119" s="702" t="s">
        <v>4513</v>
      </c>
      <c r="G119" s="528"/>
      <c r="H119" s="528"/>
      <c r="I119" s="527"/>
      <c r="J119" s="527"/>
      <c r="K119" s="528">
        <v>1.0</v>
      </c>
      <c r="L119" s="527"/>
      <c r="M119" s="528">
        <v>1.0</v>
      </c>
      <c r="N119" s="528">
        <v>1.0</v>
      </c>
      <c r="O119" s="528">
        <v>1.0</v>
      </c>
      <c r="P119" s="528"/>
      <c r="Q119" s="527"/>
      <c r="R119" s="528">
        <v>1.0</v>
      </c>
      <c r="S119" s="528"/>
      <c r="T119" s="528"/>
      <c r="U119" s="528" t="str">
        <f t="shared" si="1"/>
        <v/>
      </c>
      <c r="V119" s="528"/>
      <c r="W119" s="527"/>
      <c r="X119" s="527"/>
      <c r="Y119" s="527"/>
      <c r="Z119" s="527"/>
      <c r="AA119" s="527"/>
      <c r="AB119" s="527"/>
      <c r="AC119" s="527"/>
      <c r="AD119" s="527"/>
      <c r="AE119" s="527"/>
      <c r="AF119" s="527"/>
      <c r="AG119" s="527"/>
      <c r="AH119" s="527"/>
      <c r="AI119" s="527"/>
    </row>
    <row r="120">
      <c r="B120" s="525" t="s">
        <v>1883</v>
      </c>
      <c r="C120" s="533" t="s">
        <v>3760</v>
      </c>
      <c r="D120" s="526" t="s">
        <v>3759</v>
      </c>
      <c r="E120" s="652"/>
      <c r="F120" s="702" t="s">
        <v>4514</v>
      </c>
      <c r="G120" s="528"/>
      <c r="H120" s="528"/>
      <c r="I120" s="527"/>
      <c r="J120" s="527"/>
      <c r="K120" s="528">
        <v>1.0</v>
      </c>
      <c r="L120" s="527"/>
      <c r="M120" s="527"/>
      <c r="N120" s="527"/>
      <c r="O120" s="527"/>
      <c r="P120" s="527"/>
      <c r="Q120" s="528">
        <v>1.0</v>
      </c>
      <c r="R120" s="528">
        <v>1.0</v>
      </c>
      <c r="S120" s="528"/>
      <c r="T120" s="528"/>
      <c r="U120" s="528" t="str">
        <f t="shared" si="1"/>
        <v/>
      </c>
      <c r="V120" s="528">
        <v>1.0</v>
      </c>
      <c r="W120" s="528"/>
      <c r="X120" s="527"/>
      <c r="Y120" s="527"/>
      <c r="Z120" s="527"/>
      <c r="AA120" s="527"/>
      <c r="AB120" s="527"/>
      <c r="AC120" s="527"/>
      <c r="AD120" s="527"/>
      <c r="AE120" s="527"/>
      <c r="AF120" s="527"/>
      <c r="AG120" s="527"/>
      <c r="AH120" s="527"/>
      <c r="AI120" s="527"/>
    </row>
    <row r="121">
      <c r="B121" s="525" t="s">
        <v>1878</v>
      </c>
      <c r="C121" s="533" t="s">
        <v>3761</v>
      </c>
      <c r="D121" s="526" t="s">
        <v>2551</v>
      </c>
      <c r="E121" s="652"/>
      <c r="F121" s="702"/>
      <c r="G121" s="528"/>
      <c r="H121" s="528"/>
      <c r="I121" s="528">
        <v>1.0</v>
      </c>
      <c r="J121" s="528">
        <v>1.0</v>
      </c>
      <c r="K121" s="528">
        <v>1.0</v>
      </c>
      <c r="L121" s="528">
        <v>1.0</v>
      </c>
      <c r="M121" s="527"/>
      <c r="N121" s="528">
        <v>1.0</v>
      </c>
      <c r="O121" s="527"/>
      <c r="P121" s="527"/>
      <c r="Q121" s="528">
        <v>1.0</v>
      </c>
      <c r="R121" s="528">
        <v>1.0</v>
      </c>
      <c r="S121" s="528"/>
      <c r="T121" s="528"/>
      <c r="U121" s="528" t="str">
        <f t="shared" si="1"/>
        <v/>
      </c>
      <c r="V121" s="527"/>
      <c r="W121" s="527"/>
      <c r="X121" s="527"/>
      <c r="Y121" s="527"/>
      <c r="Z121" s="527"/>
      <c r="AA121" s="527"/>
      <c r="AB121" s="527"/>
      <c r="AC121" s="527"/>
      <c r="AD121" s="527"/>
      <c r="AE121" s="527"/>
      <c r="AF121" s="527"/>
      <c r="AG121" s="527"/>
      <c r="AH121" s="527"/>
      <c r="AI121" s="527"/>
    </row>
    <row r="122">
      <c r="B122" s="525" t="s">
        <v>1873</v>
      </c>
      <c r="C122" s="533" t="s">
        <v>3763</v>
      </c>
      <c r="D122" s="526" t="s">
        <v>3762</v>
      </c>
      <c r="E122" s="646" t="s">
        <v>3728</v>
      </c>
      <c r="F122" s="702"/>
      <c r="G122" s="528"/>
      <c r="H122" s="528"/>
      <c r="I122" s="527"/>
      <c r="J122" s="527"/>
      <c r="K122" s="527"/>
      <c r="L122" s="527"/>
      <c r="M122" s="527"/>
      <c r="N122" s="527"/>
      <c r="O122" s="527"/>
      <c r="P122" s="527"/>
      <c r="Q122" s="527"/>
      <c r="R122" s="527"/>
      <c r="S122" s="528"/>
      <c r="T122" s="528"/>
      <c r="U122" s="528" t="str">
        <f t="shared" si="1"/>
        <v/>
      </c>
      <c r="V122" s="527"/>
      <c r="W122" s="527"/>
      <c r="X122" s="527"/>
      <c r="Y122" s="527"/>
      <c r="Z122" s="527"/>
      <c r="AA122" s="527"/>
      <c r="AB122" s="527"/>
      <c r="AC122" s="527"/>
      <c r="AD122" s="527"/>
      <c r="AE122" s="527"/>
      <c r="AF122" s="527"/>
      <c r="AG122" s="527"/>
      <c r="AH122" s="527"/>
      <c r="AI122" s="527"/>
    </row>
    <row r="123">
      <c r="B123" s="525" t="s">
        <v>1868</v>
      </c>
      <c r="C123" s="533" t="s">
        <v>3764</v>
      </c>
      <c r="D123" s="526" t="s">
        <v>2572</v>
      </c>
      <c r="E123" s="646" t="s">
        <v>3728</v>
      </c>
      <c r="F123" s="702"/>
      <c r="G123" s="528"/>
      <c r="H123" s="528"/>
      <c r="I123" s="527"/>
      <c r="J123" s="527"/>
      <c r="K123" s="527"/>
      <c r="L123" s="527"/>
      <c r="M123" s="527"/>
      <c r="N123" s="527"/>
      <c r="O123" s="527"/>
      <c r="P123" s="527"/>
      <c r="Q123" s="527"/>
      <c r="R123" s="527"/>
      <c r="S123" s="528"/>
      <c r="T123" s="528"/>
      <c r="U123" s="528" t="str">
        <f t="shared" si="1"/>
        <v/>
      </c>
      <c r="V123" s="527"/>
      <c r="W123" s="527"/>
      <c r="X123" s="527"/>
      <c r="Y123" s="527"/>
      <c r="Z123" s="527"/>
      <c r="AA123" s="527"/>
      <c r="AB123" s="527"/>
      <c r="AC123" s="527"/>
      <c r="AD123" s="527"/>
      <c r="AE123" s="527"/>
      <c r="AF123" s="527"/>
      <c r="AG123" s="527"/>
      <c r="AH123" s="527"/>
      <c r="AI123" s="527"/>
    </row>
    <row r="124">
      <c r="B124" s="525" t="s">
        <v>1863</v>
      </c>
      <c r="C124" s="533" t="s">
        <v>3766</v>
      </c>
      <c r="D124" s="526" t="s">
        <v>3765</v>
      </c>
      <c r="E124" s="652"/>
      <c r="F124" s="705"/>
      <c r="G124" s="528"/>
      <c r="H124" s="528"/>
      <c r="I124" s="527"/>
      <c r="J124" s="527"/>
      <c r="K124" s="528">
        <v>1.0</v>
      </c>
      <c r="L124" s="528">
        <v>1.0</v>
      </c>
      <c r="M124" s="528">
        <v>1.0</v>
      </c>
      <c r="N124" s="527"/>
      <c r="O124" s="528">
        <v>1.0</v>
      </c>
      <c r="P124" s="527"/>
      <c r="Q124" s="527"/>
      <c r="R124" s="527"/>
      <c r="S124" s="528"/>
      <c r="T124" s="528"/>
      <c r="U124" s="528" t="str">
        <f t="shared" si="1"/>
        <v/>
      </c>
      <c r="V124" s="527"/>
      <c r="W124" s="527"/>
      <c r="X124" s="527"/>
      <c r="Y124" s="527"/>
      <c r="Z124" s="527"/>
      <c r="AA124" s="527"/>
      <c r="AB124" s="527"/>
      <c r="AC124" s="527"/>
      <c r="AD124" s="527"/>
      <c r="AE124" s="527"/>
      <c r="AF124" s="527"/>
      <c r="AG124" s="527"/>
      <c r="AH124" s="527"/>
      <c r="AI124" s="527"/>
    </row>
    <row r="125">
      <c r="B125" s="525" t="s">
        <v>1859</v>
      </c>
      <c r="C125" s="533" t="s">
        <v>3768</v>
      </c>
      <c r="D125" s="526" t="s">
        <v>3767</v>
      </c>
      <c r="E125" s="646" t="s">
        <v>3728</v>
      </c>
      <c r="F125" s="702" t="s">
        <v>4515</v>
      </c>
      <c r="G125" s="528"/>
      <c r="H125" s="528"/>
      <c r="I125" s="527"/>
      <c r="J125" s="527"/>
      <c r="K125" s="527"/>
      <c r="L125" s="527"/>
      <c r="M125" s="527"/>
      <c r="N125" s="527"/>
      <c r="O125" s="527"/>
      <c r="P125" s="527"/>
      <c r="Q125" s="527"/>
      <c r="R125" s="527"/>
      <c r="S125" s="528"/>
      <c r="T125" s="528"/>
      <c r="U125" s="528" t="str">
        <f t="shared" si="1"/>
        <v/>
      </c>
      <c r="V125" s="527"/>
      <c r="W125" s="527"/>
      <c r="X125" s="527"/>
      <c r="Y125" s="527"/>
      <c r="Z125" s="527"/>
      <c r="AA125" s="527"/>
      <c r="AB125" s="527"/>
      <c r="AC125" s="527"/>
      <c r="AD125" s="527"/>
      <c r="AE125" s="527"/>
      <c r="AF125" s="527"/>
      <c r="AG125" s="527"/>
      <c r="AH125" s="527"/>
      <c r="AI125" s="527"/>
    </row>
    <row r="126">
      <c r="B126" s="525" t="s">
        <v>1854</v>
      </c>
      <c r="C126" s="533" t="s">
        <v>3770</v>
      </c>
      <c r="D126" s="526" t="s">
        <v>3769</v>
      </c>
      <c r="E126" s="652"/>
      <c r="F126" s="702" t="s">
        <v>4516</v>
      </c>
      <c r="G126" s="528"/>
      <c r="H126" s="528"/>
      <c r="I126" s="528">
        <v>1.0</v>
      </c>
      <c r="J126" s="528">
        <v>1.0</v>
      </c>
      <c r="K126" s="528">
        <v>1.0</v>
      </c>
      <c r="L126" s="527"/>
      <c r="M126" s="528">
        <v>1.0</v>
      </c>
      <c r="N126" s="527"/>
      <c r="O126" s="527"/>
      <c r="P126" s="527"/>
      <c r="Q126" s="527"/>
      <c r="R126" s="527"/>
      <c r="S126" s="528"/>
      <c r="T126" s="528"/>
      <c r="U126" s="528" t="str">
        <f t="shared" si="1"/>
        <v/>
      </c>
      <c r="V126" s="528">
        <v>1.0</v>
      </c>
      <c r="W126" s="528"/>
      <c r="X126" s="527"/>
      <c r="Y126" s="527"/>
      <c r="Z126" s="527"/>
      <c r="AA126" s="527"/>
      <c r="AB126" s="527"/>
      <c r="AC126" s="527"/>
      <c r="AD126" s="527"/>
      <c r="AE126" s="527"/>
      <c r="AF126" s="527"/>
      <c r="AG126" s="527"/>
      <c r="AH126" s="527"/>
      <c r="AI126" s="527"/>
    </row>
    <row r="127">
      <c r="B127" s="525" t="s">
        <v>1849</v>
      </c>
      <c r="C127" s="533" t="s">
        <v>3772</v>
      </c>
      <c r="D127" s="526" t="s">
        <v>3771</v>
      </c>
      <c r="E127" s="652"/>
      <c r="F127" s="702" t="s">
        <v>4517</v>
      </c>
      <c r="G127" s="528"/>
      <c r="H127" s="528"/>
      <c r="I127" s="527"/>
      <c r="J127" s="528">
        <v>1.0</v>
      </c>
      <c r="K127" s="528">
        <v>1.0</v>
      </c>
      <c r="L127" s="527"/>
      <c r="M127" s="527"/>
      <c r="N127" s="527"/>
      <c r="O127" s="528">
        <v>1.0</v>
      </c>
      <c r="P127" s="528">
        <v>1.0</v>
      </c>
      <c r="Q127" s="527"/>
      <c r="R127" s="527"/>
      <c r="S127" s="528"/>
      <c r="T127" s="528"/>
      <c r="U127" s="528" t="str">
        <f t="shared" si="1"/>
        <v/>
      </c>
      <c r="V127" s="527"/>
      <c r="W127" s="527"/>
      <c r="X127" s="527"/>
      <c r="Y127" s="527"/>
      <c r="Z127" s="527"/>
      <c r="AA127" s="527"/>
      <c r="AB127" s="527"/>
      <c r="AC127" s="527"/>
      <c r="AD127" s="527"/>
      <c r="AE127" s="527"/>
      <c r="AF127" s="527"/>
      <c r="AG127" s="527"/>
      <c r="AH127" s="527"/>
      <c r="AI127" s="527"/>
    </row>
    <row r="128">
      <c r="B128" s="525" t="s">
        <v>1845</v>
      </c>
      <c r="C128" s="533" t="s">
        <v>3774</v>
      </c>
      <c r="D128" s="526" t="s">
        <v>3773</v>
      </c>
      <c r="E128" s="646" t="s">
        <v>1263</v>
      </c>
      <c r="F128" s="702"/>
      <c r="G128" s="528"/>
      <c r="H128" s="528"/>
      <c r="I128" s="527"/>
      <c r="J128" s="527"/>
      <c r="K128" s="528">
        <v>1.0</v>
      </c>
      <c r="L128" s="527"/>
      <c r="M128" s="527"/>
      <c r="N128" s="527"/>
      <c r="O128" s="527"/>
      <c r="P128" s="527"/>
      <c r="Q128" s="527"/>
      <c r="R128" s="527"/>
      <c r="S128" s="528"/>
      <c r="T128" s="528"/>
      <c r="U128" s="528" t="str">
        <f t="shared" si="1"/>
        <v/>
      </c>
      <c r="V128" s="527"/>
      <c r="W128" s="527"/>
      <c r="X128" s="527"/>
      <c r="Y128" s="527"/>
      <c r="Z128" s="527"/>
      <c r="AA128" s="527"/>
      <c r="AB128" s="527"/>
      <c r="AC128" s="527"/>
      <c r="AD128" s="527"/>
      <c r="AE128" s="527"/>
      <c r="AF128" s="527"/>
      <c r="AG128" s="527"/>
      <c r="AH128" s="527"/>
      <c r="AI128" s="527"/>
    </row>
    <row r="129">
      <c r="B129" s="525" t="s">
        <v>1841</v>
      </c>
      <c r="C129" s="533" t="s">
        <v>3776</v>
      </c>
      <c r="D129" s="526" t="s">
        <v>3775</v>
      </c>
      <c r="E129" s="652"/>
      <c r="F129" s="702" t="s">
        <v>4496</v>
      </c>
      <c r="G129" s="528"/>
      <c r="H129" s="528"/>
      <c r="I129" s="527"/>
      <c r="J129" s="528">
        <v>1.0</v>
      </c>
      <c r="K129" s="527"/>
      <c r="L129" s="527"/>
      <c r="M129" s="527"/>
      <c r="N129" s="527"/>
      <c r="O129" s="528">
        <v>1.0</v>
      </c>
      <c r="P129" s="528">
        <v>1.0</v>
      </c>
      <c r="Q129" s="527"/>
      <c r="R129" s="527"/>
      <c r="S129" s="528"/>
      <c r="T129" s="528"/>
      <c r="U129" s="528" t="str">
        <f t="shared" si="1"/>
        <v/>
      </c>
      <c r="V129" s="527"/>
      <c r="W129" s="527"/>
      <c r="X129" s="527"/>
      <c r="Y129" s="527"/>
      <c r="Z129" s="527"/>
      <c r="AA129" s="527"/>
      <c r="AB129" s="527"/>
      <c r="AC129" s="527"/>
      <c r="AD129" s="527"/>
      <c r="AE129" s="527"/>
      <c r="AF129" s="527"/>
      <c r="AG129" s="527"/>
      <c r="AH129" s="527"/>
      <c r="AI129" s="527"/>
    </row>
    <row r="130">
      <c r="A130" s="648" t="s">
        <v>2135</v>
      </c>
      <c r="B130" s="649" t="s">
        <v>2340</v>
      </c>
      <c r="C130" s="542" t="s">
        <v>3779</v>
      </c>
      <c r="D130" s="650" t="s">
        <v>3777</v>
      </c>
      <c r="E130" s="642" t="s">
        <v>3728</v>
      </c>
      <c r="F130" s="703" t="s">
        <v>4518</v>
      </c>
      <c r="G130" s="537">
        <v>33.0</v>
      </c>
      <c r="H130" s="537">
        <v>36.0</v>
      </c>
      <c r="I130" s="536"/>
      <c r="J130" s="536"/>
      <c r="K130" s="536"/>
      <c r="L130" s="536"/>
      <c r="M130" s="536"/>
      <c r="N130" s="536"/>
      <c r="O130" s="536"/>
      <c r="P130" s="536"/>
      <c r="Q130" s="536"/>
      <c r="R130" s="536"/>
      <c r="S130" s="537"/>
      <c r="T130" s="537"/>
      <c r="U130" s="537" t="str">
        <f t="shared" si="1"/>
        <v/>
      </c>
      <c r="V130" s="536"/>
      <c r="W130" s="536"/>
      <c r="X130" s="536"/>
      <c r="Y130" s="536"/>
      <c r="Z130" s="536"/>
      <c r="AA130" s="536"/>
      <c r="AB130" s="536"/>
      <c r="AC130" s="536"/>
      <c r="AD130" s="536"/>
      <c r="AE130" s="536"/>
      <c r="AF130" s="536"/>
      <c r="AG130" s="536"/>
      <c r="AH130" s="536"/>
      <c r="AI130" s="536"/>
    </row>
    <row r="131">
      <c r="B131" s="649" t="s">
        <v>2335</v>
      </c>
      <c r="C131" s="542" t="s">
        <v>3781</v>
      </c>
      <c r="D131" s="650" t="s">
        <v>3724</v>
      </c>
      <c r="E131" s="647"/>
      <c r="F131" s="703" t="s">
        <v>4519</v>
      </c>
      <c r="G131" s="537">
        <v>276.0</v>
      </c>
      <c r="H131" s="537">
        <v>170.0</v>
      </c>
      <c r="I131" s="537">
        <v>1.0</v>
      </c>
      <c r="J131" s="536"/>
      <c r="K131" s="537">
        <v>1.0</v>
      </c>
      <c r="L131" s="537">
        <v>1.0</v>
      </c>
      <c r="M131" s="536"/>
      <c r="N131" s="536"/>
      <c r="O131" s="537">
        <v>1.0</v>
      </c>
      <c r="P131" s="536"/>
      <c r="Q131" s="536"/>
      <c r="R131" s="537">
        <v>1.0</v>
      </c>
      <c r="S131" s="537">
        <v>1.0</v>
      </c>
      <c r="T131" s="537"/>
      <c r="U131" s="537" t="str">
        <f t="shared" si="1"/>
        <v/>
      </c>
      <c r="V131" s="536"/>
      <c r="W131" s="536"/>
      <c r="X131" s="536"/>
      <c r="Y131" s="536"/>
      <c r="Z131" s="536"/>
      <c r="AA131" s="536"/>
      <c r="AB131" s="536"/>
      <c r="AC131" s="536"/>
      <c r="AD131" s="536"/>
      <c r="AE131" s="536"/>
      <c r="AF131" s="536"/>
      <c r="AG131" s="536"/>
      <c r="AH131" s="536"/>
      <c r="AI131" s="536"/>
    </row>
    <row r="132">
      <c r="B132" s="649" t="s">
        <v>2330</v>
      </c>
      <c r="C132" s="542" t="s">
        <v>3784</v>
      </c>
      <c r="D132" s="650" t="s">
        <v>3782</v>
      </c>
      <c r="E132" s="647"/>
      <c r="F132" s="537" t="s">
        <v>4486</v>
      </c>
      <c r="G132" s="537">
        <v>244.0</v>
      </c>
      <c r="H132" s="537">
        <v>129.0</v>
      </c>
      <c r="I132" s="536"/>
      <c r="J132" s="537">
        <v>1.0</v>
      </c>
      <c r="K132" s="536"/>
      <c r="L132" s="537">
        <v>1.0</v>
      </c>
      <c r="M132" s="537">
        <v>1.0</v>
      </c>
      <c r="N132" s="536"/>
      <c r="O132" s="537">
        <v>1.0</v>
      </c>
      <c r="P132" s="536"/>
      <c r="Q132" s="536"/>
      <c r="R132" s="537">
        <v>1.0</v>
      </c>
      <c r="S132" s="537"/>
      <c r="T132" s="537"/>
      <c r="U132" s="537" t="str">
        <f t="shared" si="1"/>
        <v/>
      </c>
      <c r="V132" s="536"/>
      <c r="W132" s="536"/>
      <c r="X132" s="536"/>
      <c r="Y132" s="536"/>
      <c r="Z132" s="536"/>
      <c r="AA132" s="536"/>
      <c r="AB132" s="536"/>
      <c r="AC132" s="536"/>
      <c r="AD132" s="536"/>
      <c r="AE132" s="536"/>
      <c r="AF132" s="536"/>
      <c r="AG132" s="536"/>
      <c r="AH132" s="536"/>
      <c r="AI132" s="536"/>
    </row>
    <row r="133">
      <c r="B133" s="649" t="s">
        <v>2325</v>
      </c>
      <c r="C133" s="542" t="s">
        <v>3786</v>
      </c>
      <c r="D133" s="650" t="s">
        <v>3785</v>
      </c>
      <c r="E133" s="642" t="s">
        <v>3728</v>
      </c>
      <c r="F133" s="703"/>
      <c r="G133" s="537">
        <v>233.0</v>
      </c>
      <c r="H133" s="537">
        <v>10.0</v>
      </c>
      <c r="I133" s="536"/>
      <c r="J133" s="536"/>
      <c r="K133" s="536"/>
      <c r="L133" s="536"/>
      <c r="M133" s="536"/>
      <c r="N133" s="536"/>
      <c r="O133" s="536"/>
      <c r="P133" s="536"/>
      <c r="Q133" s="536"/>
      <c r="R133" s="536"/>
      <c r="S133" s="537"/>
      <c r="T133" s="537"/>
      <c r="U133" s="537" t="str">
        <f t="shared" si="1"/>
        <v/>
      </c>
      <c r="V133" s="536"/>
      <c r="W133" s="536"/>
      <c r="X133" s="536"/>
      <c r="Y133" s="536"/>
      <c r="Z133" s="536"/>
      <c r="AA133" s="536"/>
      <c r="AB133" s="536"/>
      <c r="AC133" s="536"/>
      <c r="AD133" s="536"/>
      <c r="AE133" s="536"/>
      <c r="AF133" s="536"/>
      <c r="AG133" s="536"/>
      <c r="AH133" s="536"/>
      <c r="AI133" s="536"/>
    </row>
    <row r="134">
      <c r="B134" s="649" t="s">
        <v>2320</v>
      </c>
      <c r="C134" s="542" t="s">
        <v>3788</v>
      </c>
      <c r="D134" s="650" t="s">
        <v>3727</v>
      </c>
      <c r="E134" s="647"/>
      <c r="F134" s="703" t="s">
        <v>4260</v>
      </c>
      <c r="G134" s="537">
        <v>151.0</v>
      </c>
      <c r="H134" s="537">
        <v>130.0</v>
      </c>
      <c r="I134" s="537">
        <v>1.0</v>
      </c>
      <c r="J134" s="536"/>
      <c r="K134" s="537">
        <v>1.0</v>
      </c>
      <c r="L134" s="536"/>
      <c r="M134" s="536"/>
      <c r="N134" s="536"/>
      <c r="O134" s="536"/>
      <c r="P134" s="536"/>
      <c r="Q134" s="536"/>
      <c r="R134" s="537">
        <v>1.0</v>
      </c>
      <c r="S134" s="537"/>
      <c r="T134" s="537"/>
      <c r="U134" s="537" t="str">
        <f t="shared" si="1"/>
        <v/>
      </c>
      <c r="V134" s="536"/>
      <c r="W134" s="536"/>
      <c r="X134" s="536"/>
      <c r="Y134" s="536"/>
      <c r="Z134" s="536"/>
      <c r="AA134" s="536"/>
      <c r="AB134" s="536"/>
      <c r="AC134" s="536"/>
      <c r="AD134" s="536"/>
      <c r="AE134" s="536"/>
      <c r="AF134" s="536"/>
      <c r="AG134" s="536"/>
      <c r="AH134" s="536"/>
      <c r="AI134" s="536"/>
    </row>
    <row r="135">
      <c r="B135" s="649" t="s">
        <v>2314</v>
      </c>
      <c r="C135" s="542" t="s">
        <v>3790</v>
      </c>
      <c r="D135" s="650" t="s">
        <v>3730</v>
      </c>
      <c r="E135" s="647"/>
      <c r="F135" s="703" t="s">
        <v>4260</v>
      </c>
      <c r="G135" s="537">
        <v>595.0</v>
      </c>
      <c r="H135" s="537">
        <v>802.0</v>
      </c>
      <c r="I135" s="536"/>
      <c r="J135" s="536"/>
      <c r="K135" s="536"/>
      <c r="L135" s="536"/>
      <c r="M135" s="536"/>
      <c r="N135" s="536"/>
      <c r="O135" s="536"/>
      <c r="P135" s="536"/>
      <c r="Q135" s="536"/>
      <c r="R135" s="536"/>
      <c r="S135" s="537"/>
      <c r="T135" s="537">
        <v>1.0</v>
      </c>
      <c r="U135" s="537" t="str">
        <f t="shared" si="1"/>
        <v/>
      </c>
      <c r="V135" s="536"/>
      <c r="W135" s="536"/>
      <c r="X135" s="536"/>
      <c r="Y135" s="536"/>
      <c r="Z135" s="536"/>
      <c r="AA135" s="536"/>
      <c r="AB135" s="536"/>
      <c r="AC135" s="536"/>
      <c r="AD135" s="536"/>
      <c r="AE135" s="536"/>
      <c r="AF135" s="536"/>
      <c r="AG135" s="536"/>
      <c r="AH135" s="536"/>
      <c r="AI135" s="536"/>
    </row>
    <row r="136">
      <c r="B136" s="649" t="s">
        <v>2308</v>
      </c>
      <c r="C136" s="542" t="s">
        <v>3791</v>
      </c>
      <c r="D136" s="650" t="s">
        <v>91</v>
      </c>
      <c r="E136" s="642" t="s">
        <v>1263</v>
      </c>
      <c r="F136" s="703"/>
      <c r="G136" s="537">
        <v>14885.0</v>
      </c>
      <c r="H136" s="537">
        <v>82.0</v>
      </c>
      <c r="I136" s="536"/>
      <c r="J136" s="536"/>
      <c r="K136" s="536"/>
      <c r="L136" s="536"/>
      <c r="M136" s="536"/>
      <c r="N136" s="536"/>
      <c r="O136" s="536"/>
      <c r="P136" s="536"/>
      <c r="Q136" s="536"/>
      <c r="R136" s="536"/>
      <c r="S136" s="537"/>
      <c r="T136" s="537"/>
      <c r="U136" s="537" t="str">
        <f t="shared" si="1"/>
        <v/>
      </c>
      <c r="V136" s="536"/>
      <c r="W136" s="536"/>
      <c r="X136" s="536"/>
      <c r="Y136" s="536"/>
      <c r="Z136" s="536"/>
      <c r="AA136" s="536"/>
      <c r="AB136" s="536"/>
      <c r="AC136" s="536"/>
      <c r="AD136" s="536"/>
      <c r="AE136" s="536"/>
      <c r="AF136" s="536"/>
      <c r="AG136" s="536"/>
      <c r="AH136" s="536"/>
      <c r="AI136" s="536"/>
    </row>
    <row r="137">
      <c r="B137" s="649" t="s">
        <v>2303</v>
      </c>
      <c r="C137" s="542" t="s">
        <v>3794</v>
      </c>
      <c r="D137" s="650" t="s">
        <v>3792</v>
      </c>
      <c r="E137" s="642" t="s">
        <v>1263</v>
      </c>
      <c r="F137" s="703"/>
      <c r="G137" s="537">
        <v>67.0</v>
      </c>
      <c r="H137" s="537">
        <v>206.0</v>
      </c>
      <c r="I137" s="536"/>
      <c r="J137" s="536"/>
      <c r="K137" s="537">
        <v>1.0</v>
      </c>
      <c r="L137" s="537">
        <v>1.0</v>
      </c>
      <c r="M137" s="536"/>
      <c r="N137" s="536"/>
      <c r="O137" s="536"/>
      <c r="P137" s="536"/>
      <c r="Q137" s="536"/>
      <c r="R137" s="537">
        <v>1.0</v>
      </c>
      <c r="S137" s="537">
        <v>1.0</v>
      </c>
      <c r="T137" s="537"/>
      <c r="U137" s="537" t="str">
        <f t="shared" si="1"/>
        <v/>
      </c>
      <c r="V137" s="536"/>
      <c r="W137" s="536"/>
      <c r="X137" s="536"/>
      <c r="Y137" s="536"/>
      <c r="Z137" s="536"/>
      <c r="AA137" s="536"/>
      <c r="AB137" s="536"/>
      <c r="AC137" s="536"/>
      <c r="AD137" s="536"/>
      <c r="AE137" s="536"/>
      <c r="AF137" s="536"/>
      <c r="AG137" s="536"/>
      <c r="AH137" s="536"/>
      <c r="AI137" s="536"/>
    </row>
    <row r="138">
      <c r="B138" s="649" t="s">
        <v>2298</v>
      </c>
      <c r="C138" s="542" t="s">
        <v>3796</v>
      </c>
      <c r="D138" s="650" t="s">
        <v>3795</v>
      </c>
      <c r="E138" s="642" t="s">
        <v>1263</v>
      </c>
      <c r="F138" s="537" t="s">
        <v>4486</v>
      </c>
      <c r="G138" s="537">
        <v>348.0</v>
      </c>
      <c r="H138" s="537">
        <v>314.0</v>
      </c>
      <c r="I138" s="536"/>
      <c r="J138" s="536"/>
      <c r="K138" s="536"/>
      <c r="L138" s="537">
        <v>1.0</v>
      </c>
      <c r="M138" s="536"/>
      <c r="N138" s="537">
        <v>1.0</v>
      </c>
      <c r="O138" s="536"/>
      <c r="P138" s="536"/>
      <c r="Q138" s="536"/>
      <c r="R138" s="536"/>
      <c r="S138" s="537"/>
      <c r="T138" s="537">
        <v>1.0</v>
      </c>
      <c r="U138" s="537" t="str">
        <f t="shared" si="1"/>
        <v/>
      </c>
      <c r="V138" s="536"/>
      <c r="W138" s="536"/>
      <c r="X138" s="536"/>
      <c r="Y138" s="536"/>
      <c r="Z138" s="536"/>
      <c r="AA138" s="536"/>
      <c r="AB138" s="536"/>
      <c r="AC138" s="536"/>
      <c r="AD138" s="536"/>
      <c r="AE138" s="536"/>
      <c r="AF138" s="536"/>
      <c r="AG138" s="536"/>
      <c r="AH138" s="536"/>
      <c r="AI138" s="536"/>
    </row>
    <row r="139">
      <c r="B139" s="649" t="s">
        <v>2293</v>
      </c>
      <c r="C139" s="542" t="s">
        <v>3799</v>
      </c>
      <c r="D139" s="650" t="s">
        <v>3797</v>
      </c>
      <c r="E139" s="642" t="s">
        <v>1263</v>
      </c>
      <c r="F139" s="703" t="s">
        <v>4520</v>
      </c>
      <c r="G139" s="537">
        <v>185.0</v>
      </c>
      <c r="H139" s="537">
        <v>87.0</v>
      </c>
      <c r="I139" s="537">
        <v>1.0</v>
      </c>
      <c r="J139" s="536"/>
      <c r="K139" s="537">
        <v>1.0</v>
      </c>
      <c r="L139" s="536"/>
      <c r="M139" s="536"/>
      <c r="N139" s="536"/>
      <c r="O139" s="536"/>
      <c r="P139" s="536"/>
      <c r="Q139" s="536"/>
      <c r="R139" s="537">
        <v>1.0</v>
      </c>
      <c r="S139" s="537"/>
      <c r="T139" s="537"/>
      <c r="U139" s="537" t="str">
        <f t="shared" si="1"/>
        <v/>
      </c>
      <c r="V139" s="536"/>
      <c r="W139" s="536"/>
      <c r="X139" s="536"/>
      <c r="Y139" s="537"/>
      <c r="Z139" s="536"/>
      <c r="AA139" s="536"/>
      <c r="AB139" s="536"/>
      <c r="AC139" s="536"/>
      <c r="AD139" s="536"/>
      <c r="AE139" s="536"/>
      <c r="AF139" s="536"/>
      <c r="AG139" s="536"/>
      <c r="AH139" s="536"/>
      <c r="AI139" s="536"/>
    </row>
    <row r="140">
      <c r="B140" s="649" t="s">
        <v>2288</v>
      </c>
      <c r="C140" s="542" t="s">
        <v>3800</v>
      </c>
      <c r="D140" s="650" t="s">
        <v>232</v>
      </c>
      <c r="E140" s="642" t="s">
        <v>1263</v>
      </c>
      <c r="F140" s="703"/>
      <c r="G140" s="537">
        <v>16.0</v>
      </c>
      <c r="H140" s="537">
        <v>14.0</v>
      </c>
      <c r="I140" s="536"/>
      <c r="J140" s="536"/>
      <c r="K140" s="536"/>
      <c r="L140" s="536"/>
      <c r="M140" s="536"/>
      <c r="N140" s="536"/>
      <c r="O140" s="536"/>
      <c r="P140" s="536"/>
      <c r="Q140" s="536"/>
      <c r="R140" s="536"/>
      <c r="S140" s="537">
        <v>1.0</v>
      </c>
      <c r="T140" s="537">
        <v>1.0</v>
      </c>
      <c r="U140" s="537" t="str">
        <f t="shared" si="1"/>
        <v/>
      </c>
      <c r="V140" s="536"/>
      <c r="W140" s="536"/>
      <c r="X140" s="536"/>
      <c r="Y140" s="536"/>
      <c r="Z140" s="536"/>
      <c r="AA140" s="536"/>
      <c r="AB140" s="536"/>
      <c r="AC140" s="536"/>
      <c r="AD140" s="536"/>
      <c r="AE140" s="536"/>
      <c r="AF140" s="536"/>
      <c r="AG140" s="536"/>
      <c r="AH140" s="536"/>
      <c r="AI140" s="536"/>
    </row>
    <row r="141">
      <c r="B141" s="649" t="s">
        <v>2283</v>
      </c>
      <c r="C141" s="542" t="s">
        <v>3803</v>
      </c>
      <c r="D141" s="650" t="s">
        <v>3801</v>
      </c>
      <c r="E141" s="642" t="s">
        <v>3728</v>
      </c>
      <c r="F141" s="703"/>
      <c r="G141" s="537">
        <v>173.0</v>
      </c>
      <c r="H141" s="537">
        <v>11.0</v>
      </c>
      <c r="I141" s="536"/>
      <c r="J141" s="536"/>
      <c r="K141" s="536"/>
      <c r="L141" s="536"/>
      <c r="M141" s="536"/>
      <c r="N141" s="536"/>
      <c r="O141" s="536"/>
      <c r="P141" s="536"/>
      <c r="Q141" s="536"/>
      <c r="R141" s="536"/>
      <c r="S141" s="537"/>
      <c r="T141" s="537"/>
      <c r="U141" s="537" t="str">
        <f t="shared" si="1"/>
        <v/>
      </c>
      <c r="V141" s="536"/>
      <c r="W141" s="536"/>
      <c r="X141" s="536"/>
      <c r="Y141" s="536"/>
      <c r="Z141" s="536"/>
      <c r="AA141" s="536"/>
      <c r="AB141" s="536"/>
      <c r="AC141" s="536"/>
      <c r="AD141" s="536"/>
      <c r="AE141" s="536"/>
      <c r="AF141" s="536"/>
      <c r="AG141" s="536"/>
      <c r="AH141" s="536"/>
      <c r="AI141" s="536"/>
    </row>
    <row r="142">
      <c r="B142" s="649" t="s">
        <v>2278</v>
      </c>
      <c r="C142" s="542" t="s">
        <v>3804</v>
      </c>
      <c r="D142" s="650" t="s">
        <v>450</v>
      </c>
      <c r="E142" s="642" t="s">
        <v>3728</v>
      </c>
      <c r="F142" s="703"/>
      <c r="G142" s="537">
        <v>239.0</v>
      </c>
      <c r="H142" s="537">
        <v>185.0</v>
      </c>
      <c r="I142" s="536"/>
      <c r="J142" s="536"/>
      <c r="K142" s="536"/>
      <c r="L142" s="536"/>
      <c r="M142" s="536"/>
      <c r="N142" s="536"/>
      <c r="O142" s="536"/>
      <c r="P142" s="536"/>
      <c r="Q142" s="536"/>
      <c r="R142" s="536"/>
      <c r="S142" s="537"/>
      <c r="T142" s="537"/>
      <c r="U142" s="537" t="str">
        <f t="shared" si="1"/>
        <v/>
      </c>
      <c r="V142" s="536"/>
      <c r="W142" s="536"/>
      <c r="X142" s="536"/>
      <c r="Y142" s="536"/>
      <c r="Z142" s="536"/>
      <c r="AA142" s="536"/>
      <c r="AB142" s="536"/>
      <c r="AC142" s="536"/>
      <c r="AD142" s="536"/>
      <c r="AE142" s="536"/>
      <c r="AF142" s="536"/>
      <c r="AG142" s="536"/>
      <c r="AH142" s="536"/>
      <c r="AI142" s="536"/>
    </row>
    <row r="143">
      <c r="B143" s="649" t="s">
        <v>2271</v>
      </c>
      <c r="C143" s="542" t="s">
        <v>3807</v>
      </c>
      <c r="D143" s="650" t="s">
        <v>3805</v>
      </c>
      <c r="E143" s="642" t="s">
        <v>1263</v>
      </c>
      <c r="F143" s="703" t="s">
        <v>4260</v>
      </c>
      <c r="G143" s="537">
        <v>60.0</v>
      </c>
      <c r="H143" s="537">
        <v>5.0</v>
      </c>
      <c r="I143" s="537">
        <v>1.0</v>
      </c>
      <c r="J143" s="536"/>
      <c r="K143" s="537">
        <v>1.0</v>
      </c>
      <c r="L143" s="536"/>
      <c r="M143" s="536"/>
      <c r="N143" s="536"/>
      <c r="O143" s="537"/>
      <c r="P143" s="537">
        <v>1.0</v>
      </c>
      <c r="Q143" s="536"/>
      <c r="R143" s="537">
        <v>1.0</v>
      </c>
      <c r="S143" s="537"/>
      <c r="T143" s="537"/>
      <c r="U143" s="537" t="str">
        <f t="shared" si="1"/>
        <v/>
      </c>
      <c r="V143" s="536"/>
      <c r="W143" s="536"/>
      <c r="X143" s="536"/>
      <c r="Y143" s="536"/>
      <c r="Z143" s="536"/>
      <c r="AA143" s="536"/>
      <c r="AB143" s="536"/>
      <c r="AC143" s="536"/>
      <c r="AD143" s="536"/>
      <c r="AE143" s="536"/>
      <c r="AF143" s="536"/>
      <c r="AG143" s="536"/>
      <c r="AH143" s="536"/>
      <c r="AI143" s="536"/>
    </row>
    <row r="144">
      <c r="B144" s="649" t="s">
        <v>2266</v>
      </c>
      <c r="C144" s="542" t="s">
        <v>3808</v>
      </c>
      <c r="D144" s="650" t="s">
        <v>3732</v>
      </c>
      <c r="E144" s="647"/>
      <c r="F144" s="703" t="s">
        <v>4521</v>
      </c>
      <c r="G144" s="537">
        <v>1759.0</v>
      </c>
      <c r="H144" s="537">
        <v>224.0</v>
      </c>
      <c r="I144" s="537">
        <v>1.0</v>
      </c>
      <c r="J144" s="536"/>
      <c r="K144" s="537">
        <v>1.0</v>
      </c>
      <c r="L144" s="537">
        <v>1.0</v>
      </c>
      <c r="M144" s="536"/>
      <c r="N144" s="537">
        <v>1.0</v>
      </c>
      <c r="O144" s="537">
        <v>1.0</v>
      </c>
      <c r="P144" s="536"/>
      <c r="Q144" s="536"/>
      <c r="R144" s="537">
        <v>1.0</v>
      </c>
      <c r="S144" s="537"/>
      <c r="T144" s="537">
        <v>1.0</v>
      </c>
      <c r="U144" s="537" t="str">
        <f t="shared" si="1"/>
        <v/>
      </c>
      <c r="V144" s="536"/>
      <c r="W144" s="536"/>
      <c r="X144" s="536"/>
      <c r="Y144" s="536"/>
      <c r="Z144" s="536"/>
      <c r="AA144" s="536"/>
      <c r="AB144" s="536"/>
      <c r="AC144" s="536"/>
      <c r="AD144" s="536"/>
      <c r="AE144" s="536"/>
      <c r="AF144" s="536"/>
      <c r="AG144" s="536"/>
      <c r="AH144" s="536"/>
      <c r="AI144" s="536"/>
    </row>
    <row r="145" ht="19.5" customHeight="1">
      <c r="B145" s="649" t="s">
        <v>2261</v>
      </c>
      <c r="C145" s="542" t="s">
        <v>3810</v>
      </c>
      <c r="D145" s="650" t="s">
        <v>3809</v>
      </c>
      <c r="E145" s="642" t="s">
        <v>3728</v>
      </c>
      <c r="F145" s="703"/>
      <c r="G145" s="537">
        <v>84.0</v>
      </c>
      <c r="H145" s="537">
        <v>12.0</v>
      </c>
      <c r="I145" s="536"/>
      <c r="J145" s="536"/>
      <c r="K145" s="536"/>
      <c r="L145" s="536"/>
      <c r="M145" s="536"/>
      <c r="N145" s="536"/>
      <c r="O145" s="536"/>
      <c r="P145" s="536"/>
      <c r="Q145" s="536"/>
      <c r="R145" s="536"/>
      <c r="S145" s="537"/>
      <c r="T145" s="537"/>
      <c r="U145" s="537" t="str">
        <f t="shared" si="1"/>
        <v/>
      </c>
      <c r="V145" s="536"/>
      <c r="W145" s="536"/>
      <c r="X145" s="536"/>
      <c r="Y145" s="536"/>
      <c r="Z145" s="536"/>
      <c r="AA145" s="536"/>
      <c r="AB145" s="536"/>
      <c r="AC145" s="536"/>
      <c r="AD145" s="536"/>
      <c r="AE145" s="536"/>
      <c r="AF145" s="536"/>
      <c r="AG145" s="536"/>
      <c r="AH145" s="536"/>
      <c r="AI145" s="536"/>
    </row>
    <row r="146">
      <c r="B146" s="649" t="s">
        <v>2256</v>
      </c>
      <c r="C146" s="542" t="s">
        <v>3813</v>
      </c>
      <c r="D146" s="650" t="s">
        <v>3811</v>
      </c>
      <c r="E146" s="642" t="s">
        <v>3728</v>
      </c>
      <c r="F146" s="703"/>
      <c r="G146" s="537">
        <v>178.0</v>
      </c>
      <c r="H146" s="537">
        <v>36.0</v>
      </c>
      <c r="I146" s="536"/>
      <c r="J146" s="536"/>
      <c r="K146" s="536"/>
      <c r="L146" s="536"/>
      <c r="M146" s="536"/>
      <c r="N146" s="536"/>
      <c r="O146" s="536"/>
      <c r="P146" s="536"/>
      <c r="Q146" s="536"/>
      <c r="R146" s="536"/>
      <c r="S146" s="537"/>
      <c r="T146" s="537"/>
      <c r="U146" s="537" t="str">
        <f t="shared" si="1"/>
        <v/>
      </c>
      <c r="V146" s="536"/>
      <c r="W146" s="536"/>
      <c r="X146" s="536"/>
      <c r="Y146" s="536"/>
      <c r="Z146" s="536"/>
      <c r="AA146" s="536"/>
      <c r="AB146" s="536"/>
      <c r="AC146" s="536"/>
      <c r="AD146" s="536"/>
      <c r="AE146" s="536"/>
      <c r="AF146" s="536"/>
      <c r="AG146" s="536"/>
      <c r="AH146" s="536"/>
      <c r="AI146" s="536"/>
    </row>
    <row r="147">
      <c r="B147" s="649" t="s">
        <v>2251</v>
      </c>
      <c r="C147" s="542" t="s">
        <v>3816</v>
      </c>
      <c r="D147" s="650" t="s">
        <v>3814</v>
      </c>
      <c r="E147" s="647"/>
      <c r="F147" s="703" t="s">
        <v>4522</v>
      </c>
      <c r="G147" s="537">
        <v>66.0</v>
      </c>
      <c r="H147" s="537">
        <v>10.0</v>
      </c>
      <c r="I147" s="537">
        <v>1.0</v>
      </c>
      <c r="J147" s="536"/>
      <c r="K147" s="537">
        <v>1.0</v>
      </c>
      <c r="L147" s="536"/>
      <c r="M147" s="536"/>
      <c r="N147" s="536"/>
      <c r="O147" s="537">
        <v>1.0</v>
      </c>
      <c r="P147" s="536"/>
      <c r="Q147" s="536"/>
      <c r="R147" s="537">
        <v>1.0</v>
      </c>
      <c r="S147" s="537">
        <v>1.0</v>
      </c>
      <c r="T147" s="537"/>
      <c r="U147" s="537" t="str">
        <f t="shared" si="1"/>
        <v/>
      </c>
      <c r="V147" s="536"/>
      <c r="W147" s="536"/>
      <c r="X147" s="536"/>
      <c r="Y147" s="536"/>
      <c r="Z147" s="536"/>
      <c r="AA147" s="536"/>
      <c r="AB147" s="536"/>
      <c r="AC147" s="536"/>
      <c r="AD147" s="536"/>
      <c r="AE147" s="536"/>
      <c r="AF147" s="536"/>
      <c r="AG147" s="536"/>
      <c r="AH147" s="536"/>
      <c r="AI147" s="536"/>
    </row>
    <row r="148">
      <c r="B148" s="649" t="s">
        <v>2246</v>
      </c>
      <c r="C148" s="542" t="s">
        <v>3819</v>
      </c>
      <c r="D148" s="650" t="s">
        <v>3817</v>
      </c>
      <c r="E148" s="647"/>
      <c r="F148" s="537" t="s">
        <v>4486</v>
      </c>
      <c r="G148" s="537">
        <v>273.0</v>
      </c>
      <c r="H148" s="537">
        <v>131.0</v>
      </c>
      <c r="I148" s="537">
        <v>1.0</v>
      </c>
      <c r="J148" s="536"/>
      <c r="K148" s="537">
        <v>1.0</v>
      </c>
      <c r="L148" s="537">
        <v>1.0</v>
      </c>
      <c r="M148" s="536"/>
      <c r="N148" s="536"/>
      <c r="O148" s="537"/>
      <c r="P148" s="537">
        <v>1.0</v>
      </c>
      <c r="Q148" s="536"/>
      <c r="R148" s="537">
        <v>1.0</v>
      </c>
      <c r="S148" s="537"/>
      <c r="T148" s="537"/>
      <c r="U148" s="537" t="str">
        <f t="shared" si="1"/>
        <v/>
      </c>
      <c r="V148" s="537">
        <v>1.0</v>
      </c>
      <c r="W148" s="537"/>
      <c r="X148" s="536"/>
      <c r="Y148" s="536"/>
      <c r="Z148" s="536"/>
      <c r="AA148" s="536"/>
      <c r="AB148" s="536"/>
      <c r="AC148" s="536"/>
      <c r="AD148" s="536"/>
      <c r="AE148" s="536"/>
      <c r="AF148" s="536"/>
      <c r="AG148" s="536"/>
      <c r="AH148" s="536"/>
      <c r="AI148" s="536"/>
    </row>
    <row r="149">
      <c r="B149" s="649" t="s">
        <v>2241</v>
      </c>
      <c r="C149" s="542" t="s">
        <v>3822</v>
      </c>
      <c r="D149" s="650" t="s">
        <v>3820</v>
      </c>
      <c r="E149" s="642" t="s">
        <v>3728</v>
      </c>
      <c r="F149" s="703"/>
      <c r="G149" s="537">
        <v>101.0</v>
      </c>
      <c r="H149" s="537">
        <v>6.0</v>
      </c>
      <c r="I149" s="536"/>
      <c r="J149" s="536"/>
      <c r="K149" s="536"/>
      <c r="L149" s="536"/>
      <c r="M149" s="536"/>
      <c r="N149" s="536"/>
      <c r="O149" s="536"/>
      <c r="P149" s="536"/>
      <c r="Q149" s="536"/>
      <c r="R149" s="536"/>
      <c r="S149" s="537"/>
      <c r="T149" s="537"/>
      <c r="U149" s="537" t="str">
        <f t="shared" si="1"/>
        <v/>
      </c>
      <c r="V149" s="536"/>
      <c r="W149" s="536"/>
      <c r="X149" s="536"/>
      <c r="Y149" s="536"/>
      <c r="Z149" s="536"/>
      <c r="AA149" s="536"/>
      <c r="AB149" s="536"/>
      <c r="AC149" s="536"/>
      <c r="AD149" s="536"/>
      <c r="AE149" s="536"/>
      <c r="AF149" s="536"/>
      <c r="AG149" s="536"/>
      <c r="AH149" s="536"/>
      <c r="AI149" s="536"/>
    </row>
    <row r="150">
      <c r="B150" s="649" t="s">
        <v>2236</v>
      </c>
      <c r="C150" s="542" t="s">
        <v>3823</v>
      </c>
      <c r="D150" s="650" t="s">
        <v>875</v>
      </c>
      <c r="E150" s="647"/>
      <c r="F150" s="703" t="s">
        <v>4260</v>
      </c>
      <c r="G150" s="537">
        <v>90.0</v>
      </c>
      <c r="H150" s="537">
        <v>3.0</v>
      </c>
      <c r="I150" s="536"/>
      <c r="J150" s="536"/>
      <c r="K150" s="537">
        <v>1.0</v>
      </c>
      <c r="L150" s="536"/>
      <c r="M150" s="536"/>
      <c r="N150" s="536"/>
      <c r="O150" s="537"/>
      <c r="P150" s="537">
        <v>1.0</v>
      </c>
      <c r="Q150" s="536"/>
      <c r="R150" s="537">
        <v>1.0</v>
      </c>
      <c r="S150" s="537"/>
      <c r="T150" s="537"/>
      <c r="U150" s="537" t="str">
        <f t="shared" si="1"/>
        <v/>
      </c>
      <c r="V150" s="537">
        <v>1.0</v>
      </c>
      <c r="W150" s="537"/>
      <c r="X150" s="536"/>
      <c r="Y150" s="536"/>
      <c r="Z150" s="536"/>
      <c r="AA150" s="536"/>
      <c r="AB150" s="536"/>
      <c r="AC150" s="536"/>
      <c r="AD150" s="536"/>
      <c r="AE150" s="536"/>
      <c r="AF150" s="536"/>
      <c r="AG150" s="536"/>
      <c r="AH150" s="536"/>
      <c r="AI150" s="536"/>
    </row>
    <row r="151">
      <c r="B151" s="649" t="s">
        <v>2231</v>
      </c>
      <c r="C151" s="542" t="s">
        <v>3824</v>
      </c>
      <c r="D151" s="650" t="s">
        <v>1948</v>
      </c>
      <c r="E151" s="647"/>
      <c r="F151" s="703" t="s">
        <v>4522</v>
      </c>
      <c r="G151" s="537">
        <v>264.0</v>
      </c>
      <c r="H151" s="537">
        <v>21.0</v>
      </c>
      <c r="I151" s="537">
        <v>1.0</v>
      </c>
      <c r="J151" s="537">
        <v>1.0</v>
      </c>
      <c r="K151" s="537">
        <v>1.0</v>
      </c>
      <c r="L151" s="536"/>
      <c r="M151" s="537">
        <v>1.0</v>
      </c>
      <c r="N151" s="537">
        <v>1.0</v>
      </c>
      <c r="O151" s="537">
        <v>1.0</v>
      </c>
      <c r="P151" s="537">
        <v>1.0</v>
      </c>
      <c r="Q151" s="536"/>
      <c r="R151" s="537">
        <v>1.0</v>
      </c>
      <c r="S151" s="537"/>
      <c r="T151" s="537"/>
      <c r="U151" s="537" t="str">
        <f t="shared" si="1"/>
        <v/>
      </c>
      <c r="V151" s="536"/>
      <c r="W151" s="536"/>
      <c r="X151" s="536"/>
      <c r="Y151" s="536"/>
      <c r="Z151" s="536"/>
      <c r="AA151" s="536"/>
      <c r="AB151" s="536"/>
      <c r="AC151" s="536"/>
      <c r="AD151" s="536"/>
      <c r="AE151" s="536"/>
      <c r="AF151" s="536"/>
      <c r="AG151" s="536"/>
      <c r="AH151" s="536"/>
      <c r="AI151" s="536"/>
    </row>
    <row r="152">
      <c r="B152" s="649" t="s">
        <v>2226</v>
      </c>
      <c r="C152" s="542" t="s">
        <v>3827</v>
      </c>
      <c r="D152" s="650" t="s">
        <v>3825</v>
      </c>
      <c r="E152" s="647"/>
      <c r="F152" s="703" t="s">
        <v>4260</v>
      </c>
      <c r="G152" s="537">
        <v>46.0</v>
      </c>
      <c r="H152" s="537">
        <v>12.0</v>
      </c>
      <c r="I152" s="537">
        <v>1.0</v>
      </c>
      <c r="J152" s="536"/>
      <c r="K152" s="537">
        <v>1.0</v>
      </c>
      <c r="L152" s="536"/>
      <c r="M152" s="536"/>
      <c r="N152" s="536"/>
      <c r="O152" s="536"/>
      <c r="P152" s="536"/>
      <c r="Q152" s="536"/>
      <c r="R152" s="537">
        <v>1.0</v>
      </c>
      <c r="S152" s="537">
        <v>1.0</v>
      </c>
      <c r="T152" s="537"/>
      <c r="U152" s="537" t="str">
        <f t="shared" si="1"/>
        <v/>
      </c>
      <c r="V152" s="537">
        <v>1.0</v>
      </c>
      <c r="W152" s="537"/>
      <c r="X152" s="536"/>
      <c r="Y152" s="536"/>
      <c r="Z152" s="536"/>
      <c r="AA152" s="536"/>
      <c r="AB152" s="536"/>
      <c r="AC152" s="536"/>
      <c r="AD152" s="536"/>
      <c r="AE152" s="536"/>
      <c r="AF152" s="536"/>
      <c r="AG152" s="536"/>
      <c r="AH152" s="536"/>
      <c r="AI152" s="536"/>
    </row>
    <row r="153">
      <c r="B153" s="649" t="s">
        <v>2221</v>
      </c>
      <c r="C153" s="542" t="s">
        <v>3830</v>
      </c>
      <c r="D153" s="650" t="s">
        <v>3828</v>
      </c>
      <c r="E153" s="642" t="s">
        <v>3728</v>
      </c>
      <c r="F153" s="703"/>
      <c r="G153" s="537">
        <v>95.0</v>
      </c>
      <c r="H153" s="537">
        <v>43.0</v>
      </c>
      <c r="I153" s="536"/>
      <c r="J153" s="536"/>
      <c r="K153" s="536"/>
      <c r="L153" s="536"/>
      <c r="M153" s="536"/>
      <c r="N153" s="536"/>
      <c r="O153" s="536"/>
      <c r="P153" s="536"/>
      <c r="Q153" s="536"/>
      <c r="R153" s="536"/>
      <c r="S153" s="537"/>
      <c r="T153" s="537"/>
      <c r="U153" s="537" t="str">
        <f t="shared" si="1"/>
        <v/>
      </c>
      <c r="V153" s="536"/>
      <c r="W153" s="536"/>
      <c r="X153" s="536"/>
      <c r="Y153" s="536"/>
      <c r="Z153" s="536"/>
      <c r="AA153" s="536"/>
      <c r="AB153" s="536"/>
      <c r="AC153" s="536"/>
      <c r="AD153" s="536"/>
      <c r="AE153" s="536"/>
      <c r="AF153" s="536"/>
      <c r="AG153" s="536"/>
      <c r="AH153" s="536"/>
      <c r="AI153" s="536"/>
    </row>
    <row r="154">
      <c r="B154" s="649" t="s">
        <v>2216</v>
      </c>
      <c r="C154" s="542" t="s">
        <v>3832</v>
      </c>
      <c r="D154" s="650" t="s">
        <v>3831</v>
      </c>
      <c r="E154" s="642" t="s">
        <v>3728</v>
      </c>
      <c r="F154" s="703"/>
      <c r="G154" s="537">
        <v>606029.0</v>
      </c>
      <c r="H154" s="537">
        <v>114.0</v>
      </c>
      <c r="I154" s="536"/>
      <c r="J154" s="536"/>
      <c r="K154" s="536"/>
      <c r="L154" s="536"/>
      <c r="M154" s="536"/>
      <c r="N154" s="536"/>
      <c r="O154" s="536"/>
      <c r="P154" s="536"/>
      <c r="Q154" s="536"/>
      <c r="R154" s="536"/>
      <c r="S154" s="537"/>
      <c r="T154" s="537"/>
      <c r="U154" s="537" t="str">
        <f t="shared" si="1"/>
        <v/>
      </c>
      <c r="V154" s="536"/>
      <c r="W154" s="536"/>
      <c r="X154" s="536"/>
      <c r="Y154" s="536"/>
      <c r="Z154" s="536"/>
      <c r="AA154" s="536"/>
      <c r="AB154" s="536"/>
      <c r="AC154" s="536"/>
      <c r="AD154" s="536"/>
      <c r="AE154" s="536"/>
      <c r="AF154" s="536"/>
      <c r="AG154" s="536"/>
      <c r="AH154" s="536"/>
      <c r="AI154" s="536"/>
    </row>
    <row r="155">
      <c r="B155" s="649" t="s">
        <v>2211</v>
      </c>
      <c r="C155" s="542" t="s">
        <v>3833</v>
      </c>
      <c r="D155" s="650" t="s">
        <v>3735</v>
      </c>
      <c r="E155" s="647"/>
      <c r="F155" s="537" t="s">
        <v>4486</v>
      </c>
      <c r="G155" s="537">
        <v>564.0</v>
      </c>
      <c r="H155" s="537">
        <v>326.0</v>
      </c>
      <c r="I155" s="536"/>
      <c r="J155" s="536"/>
      <c r="K155" s="537">
        <v>1.0</v>
      </c>
      <c r="L155" s="537">
        <v>1.0</v>
      </c>
      <c r="M155" s="536"/>
      <c r="N155" s="536"/>
      <c r="O155" s="537">
        <v>1.0</v>
      </c>
      <c r="P155" s="536"/>
      <c r="Q155" s="536"/>
      <c r="R155" s="537"/>
      <c r="S155" s="537"/>
      <c r="T155" s="537">
        <v>1.0</v>
      </c>
      <c r="U155" s="537" t="str">
        <f t="shared" si="1"/>
        <v/>
      </c>
      <c r="V155" s="536"/>
      <c r="W155" s="536"/>
      <c r="X155" s="536"/>
      <c r="Y155" s="537" t="s">
        <v>4523</v>
      </c>
      <c r="Z155" s="536"/>
      <c r="AA155" s="536"/>
      <c r="AB155" s="536"/>
      <c r="AC155" s="536"/>
      <c r="AD155" s="536"/>
      <c r="AE155" s="536"/>
      <c r="AF155" s="536"/>
      <c r="AG155" s="536"/>
      <c r="AH155" s="536"/>
      <c r="AI155" s="536"/>
    </row>
    <row r="156">
      <c r="B156" s="649" t="s">
        <v>2206</v>
      </c>
      <c r="C156" s="542" t="s">
        <v>3835</v>
      </c>
      <c r="D156" s="650" t="s">
        <v>3834</v>
      </c>
      <c r="E156" s="647"/>
      <c r="F156" s="704"/>
      <c r="G156" s="537">
        <v>104.0</v>
      </c>
      <c r="H156" s="537">
        <v>32.0</v>
      </c>
      <c r="I156" s="537">
        <v>1.0</v>
      </c>
      <c r="J156" s="537">
        <v>1.0</v>
      </c>
      <c r="K156" s="537">
        <v>1.0</v>
      </c>
      <c r="L156" s="536"/>
      <c r="M156" s="536"/>
      <c r="N156" s="536"/>
      <c r="O156" s="537">
        <v>1.0</v>
      </c>
      <c r="P156" s="536"/>
      <c r="Q156" s="536"/>
      <c r="R156" s="537">
        <v>1.0</v>
      </c>
      <c r="S156" s="537">
        <v>1.0</v>
      </c>
      <c r="T156" s="537"/>
      <c r="U156" s="537" t="str">
        <f t="shared" si="1"/>
        <v/>
      </c>
      <c r="V156" s="536"/>
      <c r="W156" s="536"/>
      <c r="X156" s="536"/>
      <c r="Y156" s="536"/>
      <c r="Z156" s="536"/>
      <c r="AA156" s="536"/>
      <c r="AB156" s="536"/>
      <c r="AC156" s="536"/>
      <c r="AD156" s="536"/>
      <c r="AE156" s="536"/>
      <c r="AF156" s="536"/>
      <c r="AG156" s="536"/>
      <c r="AH156" s="536"/>
      <c r="AI156" s="536"/>
    </row>
    <row r="157">
      <c r="B157" s="649" t="s">
        <v>2201</v>
      </c>
      <c r="C157" s="542" t="s">
        <v>3836</v>
      </c>
      <c r="D157" s="650" t="s">
        <v>3737</v>
      </c>
      <c r="E157" s="647"/>
      <c r="F157" s="703" t="s">
        <v>4524</v>
      </c>
      <c r="G157" s="537">
        <v>14.0</v>
      </c>
      <c r="H157" s="537">
        <v>1.0</v>
      </c>
      <c r="I157" s="536"/>
      <c r="J157" s="536"/>
      <c r="K157" s="537">
        <v>1.0</v>
      </c>
      <c r="L157" s="537">
        <v>1.0</v>
      </c>
      <c r="M157" s="536"/>
      <c r="N157" s="536"/>
      <c r="O157" s="537">
        <v>1.0</v>
      </c>
      <c r="P157" s="536"/>
      <c r="Q157" s="536"/>
      <c r="R157" s="536"/>
      <c r="S157" s="537">
        <v>1.0</v>
      </c>
      <c r="T157" s="537"/>
      <c r="U157" s="537" t="str">
        <f t="shared" si="1"/>
        <v/>
      </c>
      <c r="V157" s="536"/>
      <c r="W157" s="536"/>
      <c r="X157" s="536"/>
      <c r="Y157" s="536"/>
      <c r="Z157" s="536"/>
      <c r="AA157" s="536"/>
      <c r="AB157" s="536"/>
      <c r="AC157" s="536"/>
      <c r="AD157" s="536"/>
      <c r="AE157" s="536"/>
      <c r="AF157" s="536"/>
      <c r="AG157" s="536"/>
      <c r="AH157" s="536"/>
      <c r="AI157" s="536"/>
    </row>
    <row r="158">
      <c r="B158" s="649" t="s">
        <v>2196</v>
      </c>
      <c r="C158" s="542" t="s">
        <v>3837</v>
      </c>
      <c r="D158" s="650" t="s">
        <v>3739</v>
      </c>
      <c r="E158" s="647"/>
      <c r="F158" s="703" t="s">
        <v>4260</v>
      </c>
      <c r="G158" s="537">
        <v>279.0</v>
      </c>
      <c r="H158" s="537">
        <v>96.0</v>
      </c>
      <c r="I158" s="536"/>
      <c r="J158" s="536"/>
      <c r="K158" s="537">
        <v>1.0</v>
      </c>
      <c r="L158" s="536"/>
      <c r="M158" s="536"/>
      <c r="N158" s="536"/>
      <c r="O158" s="537">
        <v>1.0</v>
      </c>
      <c r="P158" s="536"/>
      <c r="Q158" s="536"/>
      <c r="R158" s="537">
        <v>1.0</v>
      </c>
      <c r="S158" s="537"/>
      <c r="T158" s="537"/>
      <c r="U158" s="537" t="str">
        <f t="shared" si="1"/>
        <v/>
      </c>
      <c r="V158" s="536"/>
      <c r="W158" s="536"/>
      <c r="X158" s="536"/>
      <c r="Y158" s="536"/>
      <c r="Z158" s="536"/>
      <c r="AA158" s="536"/>
      <c r="AB158" s="536"/>
      <c r="AC158" s="536"/>
      <c r="AD158" s="536"/>
      <c r="AE158" s="536"/>
      <c r="AF158" s="536"/>
      <c r="AG158" s="536"/>
      <c r="AH158" s="536"/>
      <c r="AI158" s="536"/>
    </row>
    <row r="159">
      <c r="B159" s="649" t="s">
        <v>2191</v>
      </c>
      <c r="C159" s="542" t="s">
        <v>3840</v>
      </c>
      <c r="D159" s="650" t="s">
        <v>3838</v>
      </c>
      <c r="E159" s="642" t="s">
        <v>1263</v>
      </c>
      <c r="F159" s="703"/>
      <c r="G159" s="537">
        <v>331.0</v>
      </c>
      <c r="H159" s="537">
        <v>51.0</v>
      </c>
      <c r="I159" s="536"/>
      <c r="J159" s="536"/>
      <c r="K159" s="537">
        <v>1.0</v>
      </c>
      <c r="L159" s="537">
        <v>1.0</v>
      </c>
      <c r="M159" s="536"/>
      <c r="N159" s="536"/>
      <c r="O159" s="536"/>
      <c r="P159" s="536"/>
      <c r="Q159" s="536"/>
      <c r="R159" s="536"/>
      <c r="S159" s="537"/>
      <c r="T159" s="537"/>
      <c r="U159" s="537" t="str">
        <f t="shared" si="1"/>
        <v/>
      </c>
      <c r="V159" s="536"/>
      <c r="W159" s="536"/>
      <c r="X159" s="536"/>
      <c r="Y159" s="536"/>
      <c r="Z159" s="536"/>
      <c r="AA159" s="536"/>
      <c r="AB159" s="536"/>
      <c r="AC159" s="536"/>
      <c r="AD159" s="536"/>
      <c r="AE159" s="536"/>
      <c r="AF159" s="536"/>
      <c r="AG159" s="536"/>
      <c r="AH159" s="536"/>
      <c r="AI159" s="536"/>
    </row>
    <row r="160">
      <c r="B160" s="649" t="s">
        <v>2186</v>
      </c>
      <c r="C160" s="542" t="s">
        <v>3840</v>
      </c>
      <c r="D160" s="650" t="s">
        <v>3841</v>
      </c>
      <c r="E160" s="642" t="s">
        <v>3728</v>
      </c>
      <c r="F160" s="703"/>
      <c r="G160" s="537">
        <v>331.0</v>
      </c>
      <c r="H160" s="537">
        <v>51.0</v>
      </c>
      <c r="I160" s="536"/>
      <c r="J160" s="536"/>
      <c r="K160" s="536"/>
      <c r="L160" s="536"/>
      <c r="M160" s="536"/>
      <c r="N160" s="536"/>
      <c r="O160" s="536"/>
      <c r="P160" s="536"/>
      <c r="Q160" s="536"/>
      <c r="R160" s="536"/>
      <c r="S160" s="537"/>
      <c r="T160" s="537"/>
      <c r="U160" s="537" t="str">
        <f t="shared" si="1"/>
        <v/>
      </c>
      <c r="V160" s="536"/>
      <c r="W160" s="536"/>
      <c r="X160" s="536"/>
      <c r="Y160" s="536"/>
      <c r="Z160" s="536"/>
      <c r="AA160" s="536"/>
      <c r="AB160" s="536"/>
      <c r="AC160" s="536"/>
      <c r="AD160" s="536"/>
      <c r="AE160" s="536"/>
      <c r="AF160" s="536"/>
      <c r="AG160" s="536"/>
      <c r="AH160" s="536"/>
      <c r="AI160" s="536"/>
    </row>
    <row r="161">
      <c r="B161" s="649" t="s">
        <v>2181</v>
      </c>
      <c r="C161" s="542" t="s">
        <v>3845</v>
      </c>
      <c r="D161" s="650" t="s">
        <v>3843</v>
      </c>
      <c r="E161" s="647"/>
      <c r="F161" s="537" t="s">
        <v>4522</v>
      </c>
      <c r="G161" s="537">
        <v>1045.0</v>
      </c>
      <c r="H161" s="537">
        <v>0.0</v>
      </c>
      <c r="I161" s="536"/>
      <c r="J161" s="536"/>
      <c r="K161" s="537">
        <v>1.0</v>
      </c>
      <c r="L161" s="537">
        <v>1.0</v>
      </c>
      <c r="M161" s="536"/>
      <c r="N161" s="537">
        <v>1.0</v>
      </c>
      <c r="O161" s="536"/>
      <c r="P161" s="536"/>
      <c r="Q161" s="536"/>
      <c r="R161" s="536"/>
      <c r="S161" s="537"/>
      <c r="T161" s="537"/>
      <c r="U161" s="537" t="str">
        <f t="shared" si="1"/>
        <v/>
      </c>
      <c r="V161" s="536"/>
      <c r="W161" s="536"/>
      <c r="X161" s="536"/>
      <c r="Y161" s="536"/>
      <c r="Z161" s="536"/>
      <c r="AA161" s="536"/>
      <c r="AB161" s="536"/>
      <c r="AC161" s="536"/>
      <c r="AD161" s="536"/>
      <c r="AE161" s="536"/>
      <c r="AF161" s="536"/>
      <c r="AG161" s="536"/>
      <c r="AH161" s="536"/>
      <c r="AI161" s="536"/>
    </row>
    <row r="162">
      <c r="B162" s="649" t="s">
        <v>2176</v>
      </c>
      <c r="C162" s="542" t="s">
        <v>3846</v>
      </c>
      <c r="D162" s="650" t="s">
        <v>3741</v>
      </c>
      <c r="E162" s="647"/>
      <c r="F162" s="703" t="s">
        <v>4260</v>
      </c>
      <c r="G162" s="537">
        <v>397956.0</v>
      </c>
      <c r="H162" s="537">
        <v>41.0</v>
      </c>
      <c r="I162" s="536"/>
      <c r="J162" s="536"/>
      <c r="K162" s="536"/>
      <c r="L162" s="536"/>
      <c r="M162" s="536"/>
      <c r="N162" s="536"/>
      <c r="O162" s="537">
        <v>1.0</v>
      </c>
      <c r="P162" s="536"/>
      <c r="Q162" s="536"/>
      <c r="R162" s="537">
        <v>1.0</v>
      </c>
      <c r="S162" s="537"/>
      <c r="T162" s="537">
        <v>1.0</v>
      </c>
      <c r="U162" s="537" t="str">
        <f t="shared" si="1"/>
        <v/>
      </c>
      <c r="V162" s="536"/>
      <c r="W162" s="536"/>
      <c r="X162" s="536"/>
      <c r="Y162" s="536"/>
      <c r="Z162" s="536"/>
      <c r="AA162" s="536"/>
      <c r="AB162" s="536"/>
      <c r="AC162" s="536"/>
      <c r="AD162" s="536"/>
      <c r="AE162" s="536"/>
      <c r="AF162" s="536"/>
      <c r="AG162" s="536"/>
      <c r="AH162" s="536"/>
      <c r="AI162" s="536"/>
    </row>
    <row r="163">
      <c r="B163" s="649" t="s">
        <v>2171</v>
      </c>
      <c r="C163" s="542" t="s">
        <v>3849</v>
      </c>
      <c r="D163" s="650" t="s">
        <v>3847</v>
      </c>
      <c r="E163" s="647"/>
      <c r="F163" s="537" t="s">
        <v>4486</v>
      </c>
      <c r="G163" s="537">
        <v>270.0</v>
      </c>
      <c r="H163" s="537">
        <v>100.0</v>
      </c>
      <c r="I163" s="536"/>
      <c r="J163" s="536"/>
      <c r="K163" s="537">
        <v>1.0</v>
      </c>
      <c r="L163" s="537">
        <v>1.0</v>
      </c>
      <c r="M163" s="536"/>
      <c r="N163" s="536"/>
      <c r="O163" s="536"/>
      <c r="P163" s="536"/>
      <c r="Q163" s="536"/>
      <c r="R163" s="537">
        <v>1.0</v>
      </c>
      <c r="S163" s="537"/>
      <c r="T163" s="537"/>
      <c r="U163" s="537" t="str">
        <f t="shared" si="1"/>
        <v/>
      </c>
      <c r="V163" s="536"/>
      <c r="W163" s="536"/>
      <c r="X163" s="536"/>
      <c r="Y163" s="536"/>
      <c r="Z163" s="536"/>
      <c r="AA163" s="536"/>
      <c r="AB163" s="536"/>
      <c r="AC163" s="536"/>
      <c r="AD163" s="536"/>
      <c r="AE163" s="536"/>
      <c r="AF163" s="536"/>
      <c r="AG163" s="536"/>
      <c r="AH163" s="536"/>
      <c r="AI163" s="536"/>
    </row>
    <row r="164">
      <c r="B164" s="649" t="s">
        <v>2166</v>
      </c>
      <c r="C164" s="542" t="s">
        <v>3851</v>
      </c>
      <c r="D164" s="650" t="s">
        <v>3850</v>
      </c>
      <c r="E164" s="647"/>
      <c r="F164" s="537" t="s">
        <v>4522</v>
      </c>
      <c r="G164" s="537">
        <v>924.0</v>
      </c>
      <c r="H164" s="537">
        <v>25.0</v>
      </c>
      <c r="I164" s="537">
        <v>1.0</v>
      </c>
      <c r="J164" s="537">
        <v>1.0</v>
      </c>
      <c r="K164" s="537">
        <v>1.0</v>
      </c>
      <c r="L164" s="537">
        <v>1.0</v>
      </c>
      <c r="M164" s="536"/>
      <c r="N164" s="536"/>
      <c r="O164" s="536"/>
      <c r="P164" s="536"/>
      <c r="Q164" s="536"/>
      <c r="R164" s="536"/>
      <c r="S164" s="537"/>
      <c r="T164" s="537"/>
      <c r="U164" s="537" t="str">
        <f t="shared" si="1"/>
        <v/>
      </c>
      <c r="V164" s="536"/>
      <c r="W164" s="536"/>
      <c r="X164" s="536"/>
      <c r="Y164" s="536"/>
      <c r="Z164" s="536"/>
      <c r="AA164" s="536"/>
      <c r="AB164" s="536"/>
      <c r="AC164" s="536"/>
      <c r="AD164" s="536"/>
      <c r="AE164" s="536"/>
      <c r="AF164" s="536"/>
      <c r="AG164" s="536"/>
      <c r="AH164" s="536"/>
      <c r="AI164" s="536"/>
    </row>
    <row r="165">
      <c r="B165" s="649" t="s">
        <v>2161</v>
      </c>
      <c r="C165" s="542" t="s">
        <v>3854</v>
      </c>
      <c r="D165" s="650" t="s">
        <v>3852</v>
      </c>
      <c r="E165" s="642" t="s">
        <v>3728</v>
      </c>
      <c r="F165" s="703"/>
      <c r="G165" s="537">
        <v>175.0</v>
      </c>
      <c r="H165" s="537">
        <v>0.0</v>
      </c>
      <c r="I165" s="536"/>
      <c r="J165" s="536"/>
      <c r="K165" s="536"/>
      <c r="L165" s="536"/>
      <c r="M165" s="536"/>
      <c r="N165" s="536"/>
      <c r="O165" s="536"/>
      <c r="P165" s="536"/>
      <c r="Q165" s="536"/>
      <c r="R165" s="536"/>
      <c r="S165" s="537"/>
      <c r="T165" s="537"/>
      <c r="U165" s="537" t="str">
        <f t="shared" si="1"/>
        <v/>
      </c>
      <c r="V165" s="536"/>
      <c r="W165" s="536"/>
      <c r="X165" s="536"/>
      <c r="Y165" s="536"/>
      <c r="Z165" s="536"/>
      <c r="AA165" s="536"/>
      <c r="AB165" s="536"/>
      <c r="AC165" s="536"/>
      <c r="AD165" s="536"/>
      <c r="AE165" s="536"/>
      <c r="AF165" s="536"/>
      <c r="AG165" s="536"/>
      <c r="AH165" s="536"/>
      <c r="AI165" s="536"/>
    </row>
    <row r="166">
      <c r="B166" s="649" t="s">
        <v>2156</v>
      </c>
      <c r="C166" s="542" t="s">
        <v>3856</v>
      </c>
      <c r="D166" s="650" t="s">
        <v>3855</v>
      </c>
      <c r="E166" s="642" t="s">
        <v>3728</v>
      </c>
      <c r="F166" s="703"/>
      <c r="G166" s="537">
        <v>268.0</v>
      </c>
      <c r="H166" s="537">
        <v>4.0</v>
      </c>
      <c r="I166" s="536"/>
      <c r="J166" s="536"/>
      <c r="K166" s="536"/>
      <c r="L166" s="536"/>
      <c r="M166" s="536"/>
      <c r="N166" s="536"/>
      <c r="O166" s="536"/>
      <c r="P166" s="536"/>
      <c r="Q166" s="536"/>
      <c r="R166" s="536"/>
      <c r="S166" s="537"/>
      <c r="T166" s="537"/>
      <c r="U166" s="537" t="str">
        <f t="shared" si="1"/>
        <v/>
      </c>
      <c r="V166" s="536"/>
      <c r="W166" s="536"/>
      <c r="X166" s="536"/>
      <c r="Y166" s="536"/>
      <c r="Z166" s="536"/>
      <c r="AA166" s="536"/>
      <c r="AB166" s="536"/>
      <c r="AC166" s="536"/>
      <c r="AD166" s="536"/>
      <c r="AE166" s="536"/>
      <c r="AF166" s="536"/>
      <c r="AG166" s="536"/>
      <c r="AH166" s="536"/>
      <c r="AI166" s="536"/>
    </row>
    <row r="167">
      <c r="B167" s="649" t="s">
        <v>2151</v>
      </c>
      <c r="C167" s="542" t="s">
        <v>3857</v>
      </c>
      <c r="D167" s="650" t="s">
        <v>3744</v>
      </c>
      <c r="E167" s="647"/>
      <c r="F167" s="537" t="s">
        <v>4486</v>
      </c>
      <c r="G167" s="537">
        <v>332.0</v>
      </c>
      <c r="H167" s="537">
        <v>543.0</v>
      </c>
      <c r="I167" s="537">
        <v>1.0</v>
      </c>
      <c r="J167" s="536"/>
      <c r="K167" s="537"/>
      <c r="L167" s="537">
        <v>1.0</v>
      </c>
      <c r="M167" s="536"/>
      <c r="N167" s="536"/>
      <c r="O167" s="536"/>
      <c r="P167" s="536"/>
      <c r="Q167" s="536"/>
      <c r="R167" s="536"/>
      <c r="S167" s="537"/>
      <c r="T167" s="537"/>
      <c r="U167" s="537" t="str">
        <f t="shared" si="1"/>
        <v/>
      </c>
      <c r="V167" s="537">
        <v>1.0</v>
      </c>
      <c r="W167" s="536"/>
      <c r="X167" s="536"/>
      <c r="Y167" s="536"/>
      <c r="Z167" s="536"/>
      <c r="AA167" s="536"/>
      <c r="AB167" s="536"/>
      <c r="AC167" s="536"/>
      <c r="AD167" s="536"/>
      <c r="AE167" s="536"/>
      <c r="AF167" s="536"/>
      <c r="AG167" s="536"/>
      <c r="AH167" s="536"/>
      <c r="AI167" s="536"/>
    </row>
    <row r="168">
      <c r="B168" s="649" t="s">
        <v>2146</v>
      </c>
      <c r="C168" s="542" t="s">
        <v>3861</v>
      </c>
      <c r="D168" s="650" t="s">
        <v>3858</v>
      </c>
      <c r="E168" s="642" t="s">
        <v>1263</v>
      </c>
      <c r="F168" s="703"/>
      <c r="G168" s="537">
        <v>455.0</v>
      </c>
      <c r="H168" s="537">
        <v>204.0</v>
      </c>
      <c r="I168" s="537">
        <v>1.0</v>
      </c>
      <c r="J168" s="536"/>
      <c r="K168" s="537">
        <v>1.0</v>
      </c>
      <c r="L168" s="536"/>
      <c r="M168" s="536"/>
      <c r="N168" s="536"/>
      <c r="O168" s="536"/>
      <c r="P168" s="536"/>
      <c r="Q168" s="536"/>
      <c r="R168" s="537">
        <v>1.0</v>
      </c>
      <c r="S168" s="537"/>
      <c r="T168" s="537"/>
      <c r="U168" s="537" t="str">
        <f t="shared" si="1"/>
        <v/>
      </c>
      <c r="V168" s="537">
        <v>1.0</v>
      </c>
      <c r="W168" s="537"/>
      <c r="X168" s="536"/>
      <c r="Y168" s="536"/>
      <c r="Z168" s="536"/>
      <c r="AA168" s="536"/>
      <c r="AB168" s="536"/>
      <c r="AC168" s="536"/>
      <c r="AD168" s="536"/>
      <c r="AE168" s="536"/>
      <c r="AF168" s="536"/>
      <c r="AG168" s="536"/>
      <c r="AH168" s="536"/>
      <c r="AI168" s="536"/>
    </row>
    <row r="169">
      <c r="B169" s="649" t="s">
        <v>2141</v>
      </c>
      <c r="C169" s="542" t="s">
        <v>3864</v>
      </c>
      <c r="D169" s="650" t="s">
        <v>3862</v>
      </c>
      <c r="E169" s="647"/>
      <c r="F169" s="704"/>
      <c r="G169" s="537">
        <v>269.0</v>
      </c>
      <c r="H169" s="537">
        <v>116.0</v>
      </c>
      <c r="I169" s="536"/>
      <c r="J169" s="536"/>
      <c r="K169" s="537">
        <v>1.0</v>
      </c>
      <c r="L169" s="536"/>
      <c r="M169" s="536"/>
      <c r="N169" s="536"/>
      <c r="O169" s="536"/>
      <c r="P169" s="536"/>
      <c r="Q169" s="536"/>
      <c r="R169" s="537">
        <v>1.0</v>
      </c>
      <c r="S169" s="537"/>
      <c r="T169" s="537"/>
      <c r="U169" s="537" t="str">
        <f t="shared" si="1"/>
        <v/>
      </c>
      <c r="V169" s="537">
        <v>1.0</v>
      </c>
      <c r="W169" s="537"/>
      <c r="X169" s="536"/>
      <c r="Y169" s="536"/>
      <c r="Z169" s="536"/>
      <c r="AA169" s="536"/>
      <c r="AB169" s="536"/>
      <c r="AC169" s="536"/>
      <c r="AD169" s="536"/>
      <c r="AE169" s="536"/>
      <c r="AF169" s="536"/>
      <c r="AG169" s="536"/>
      <c r="AH169" s="536"/>
      <c r="AI169" s="536"/>
    </row>
    <row r="170">
      <c r="B170" s="649" t="s">
        <v>2136</v>
      </c>
      <c r="C170" s="542" t="s">
        <v>3867</v>
      </c>
      <c r="D170" s="650" t="s">
        <v>3865</v>
      </c>
      <c r="E170" s="642" t="s">
        <v>1263</v>
      </c>
      <c r="F170" s="703"/>
      <c r="G170" s="537">
        <v>403251.0</v>
      </c>
      <c r="H170" s="537">
        <v>1.0</v>
      </c>
      <c r="I170" s="536"/>
      <c r="J170" s="536"/>
      <c r="K170" s="537">
        <v>1.0</v>
      </c>
      <c r="L170" s="536"/>
      <c r="M170" s="536"/>
      <c r="N170" s="536"/>
      <c r="O170" s="536"/>
      <c r="P170" s="536"/>
      <c r="Q170" s="536"/>
      <c r="R170" s="537">
        <v>1.0</v>
      </c>
      <c r="S170" s="537"/>
      <c r="T170" s="537">
        <v>1.0</v>
      </c>
      <c r="U170" s="537" t="str">
        <f t="shared" si="1"/>
        <v/>
      </c>
      <c r="V170" s="536"/>
      <c r="W170" s="536"/>
      <c r="X170" s="536"/>
      <c r="Y170" s="536"/>
      <c r="Z170" s="536"/>
      <c r="AA170" s="536"/>
      <c r="AB170" s="536"/>
      <c r="AC170" s="536"/>
      <c r="AD170" s="536"/>
      <c r="AE170" s="536"/>
      <c r="AF170" s="536"/>
      <c r="AG170" s="536"/>
      <c r="AH170" s="536"/>
      <c r="AI170" s="536"/>
    </row>
    <row r="171">
      <c r="A171" s="659" t="s">
        <v>1975</v>
      </c>
      <c r="B171" s="660" t="s">
        <v>2130</v>
      </c>
      <c r="C171" s="551" t="s">
        <v>3870</v>
      </c>
      <c r="D171" s="661" t="s">
        <v>3868</v>
      </c>
      <c r="E171" s="662"/>
      <c r="F171" s="706" t="s">
        <v>4260</v>
      </c>
      <c r="G171" s="545">
        <v>627.0</v>
      </c>
      <c r="H171" s="545">
        <v>150.0</v>
      </c>
      <c r="I171" s="545">
        <v>1.0</v>
      </c>
      <c r="J171" s="545">
        <v>1.0</v>
      </c>
      <c r="K171" s="545">
        <v>1.0</v>
      </c>
      <c r="L171" s="545">
        <v>1.0</v>
      </c>
      <c r="M171" s="545">
        <v>1.0</v>
      </c>
      <c r="N171" s="546"/>
      <c r="O171" s="546"/>
      <c r="P171" s="546"/>
      <c r="Q171" s="546"/>
      <c r="R171" s="545">
        <v>1.0</v>
      </c>
      <c r="S171" s="545"/>
      <c r="T171" s="545"/>
      <c r="U171" s="545" t="str">
        <f t="shared" si="1"/>
        <v/>
      </c>
      <c r="V171" s="545">
        <v>1.0</v>
      </c>
      <c r="W171" s="545"/>
      <c r="X171" s="546"/>
      <c r="Y171" s="546"/>
      <c r="Z171" s="546"/>
      <c r="AA171" s="546"/>
      <c r="AB171" s="546"/>
      <c r="AC171" s="546"/>
      <c r="AD171" s="546"/>
      <c r="AE171" s="546"/>
      <c r="AF171" s="546"/>
      <c r="AG171" s="546"/>
      <c r="AH171" s="546"/>
      <c r="AI171" s="546"/>
    </row>
    <row r="172">
      <c r="B172" s="660" t="s">
        <v>2125</v>
      </c>
      <c r="C172" s="551" t="s">
        <v>3872</v>
      </c>
      <c r="D172" s="661" t="s">
        <v>2551</v>
      </c>
      <c r="E172" s="662"/>
      <c r="F172" s="707"/>
      <c r="G172" s="545">
        <v>2955.0</v>
      </c>
      <c r="H172" s="545">
        <v>8.0</v>
      </c>
      <c r="I172" s="545">
        <v>1.0</v>
      </c>
      <c r="J172" s="545">
        <v>1.0</v>
      </c>
      <c r="K172" s="546"/>
      <c r="L172" s="545">
        <v>1.0</v>
      </c>
      <c r="M172" s="546"/>
      <c r="N172" s="545">
        <v>1.0</v>
      </c>
      <c r="O172" s="546"/>
      <c r="P172" s="546"/>
      <c r="Q172" s="546"/>
      <c r="R172" s="545">
        <v>1.0</v>
      </c>
      <c r="S172" s="545"/>
      <c r="T172" s="545">
        <v>1.0</v>
      </c>
      <c r="U172" s="545" t="str">
        <f t="shared" si="1"/>
        <v/>
      </c>
      <c r="V172" s="545">
        <v>1.0</v>
      </c>
      <c r="W172" s="545"/>
      <c r="X172" s="546"/>
      <c r="Y172" s="546"/>
      <c r="Z172" s="546"/>
      <c r="AA172" s="546"/>
      <c r="AB172" s="546"/>
      <c r="AC172" s="546"/>
      <c r="AD172" s="546"/>
      <c r="AE172" s="546"/>
      <c r="AF172" s="546"/>
      <c r="AG172" s="546"/>
      <c r="AH172" s="546"/>
      <c r="AI172" s="546"/>
    </row>
    <row r="173">
      <c r="B173" s="660" t="s">
        <v>2120</v>
      </c>
      <c r="C173" s="551" t="s">
        <v>3876</v>
      </c>
      <c r="D173" s="661" t="s">
        <v>3873</v>
      </c>
      <c r="E173" s="663" t="s">
        <v>1263</v>
      </c>
      <c r="F173" s="706"/>
      <c r="G173" s="545">
        <v>258.0</v>
      </c>
      <c r="H173" s="545">
        <v>56.0</v>
      </c>
      <c r="I173" s="545">
        <v>1.0</v>
      </c>
      <c r="J173" s="545">
        <v>1.0</v>
      </c>
      <c r="K173" s="545">
        <v>1.0</v>
      </c>
      <c r="L173" s="545">
        <v>1.0</v>
      </c>
      <c r="M173" s="546"/>
      <c r="N173" s="546"/>
      <c r="O173" s="546"/>
      <c r="P173" s="546"/>
      <c r="Q173" s="546"/>
      <c r="R173" s="545">
        <v>1.0</v>
      </c>
      <c r="S173" s="545"/>
      <c r="T173" s="545"/>
      <c r="U173" s="545" t="str">
        <f t="shared" si="1"/>
        <v/>
      </c>
      <c r="V173" s="546"/>
      <c r="W173" s="546"/>
      <c r="X173" s="546"/>
      <c r="Y173" s="546"/>
      <c r="Z173" s="546"/>
      <c r="AA173" s="546"/>
      <c r="AB173" s="546"/>
      <c r="AC173" s="546"/>
      <c r="AD173" s="546"/>
      <c r="AE173" s="546"/>
      <c r="AF173" s="546"/>
      <c r="AG173" s="546"/>
      <c r="AH173" s="546"/>
      <c r="AI173" s="546"/>
    </row>
    <row r="174">
      <c r="B174" s="660" t="s">
        <v>2115</v>
      </c>
      <c r="C174" s="551" t="s">
        <v>3879</v>
      </c>
      <c r="D174" s="661" t="s">
        <v>3877</v>
      </c>
      <c r="E174" s="662"/>
      <c r="F174" s="706" t="s">
        <v>4260</v>
      </c>
      <c r="G174" s="545">
        <v>346.0</v>
      </c>
      <c r="H174" s="545">
        <v>15.0</v>
      </c>
      <c r="I174" s="545">
        <v>1.0</v>
      </c>
      <c r="J174" s="546"/>
      <c r="K174" s="545">
        <v>1.0</v>
      </c>
      <c r="L174" s="546"/>
      <c r="M174" s="546"/>
      <c r="N174" s="546"/>
      <c r="O174" s="545">
        <v>1.0</v>
      </c>
      <c r="P174" s="546"/>
      <c r="Q174" s="546"/>
      <c r="R174" s="545">
        <v>1.0</v>
      </c>
      <c r="S174" s="545"/>
      <c r="T174" s="545"/>
      <c r="U174" s="545" t="str">
        <f t="shared" si="1"/>
        <v/>
      </c>
      <c r="V174" s="545">
        <v>1.0</v>
      </c>
      <c r="W174" s="545"/>
      <c r="X174" s="546"/>
      <c r="Y174" s="546"/>
      <c r="Z174" s="546"/>
      <c r="AA174" s="546"/>
      <c r="AB174" s="546"/>
      <c r="AC174" s="546"/>
      <c r="AD174" s="546"/>
      <c r="AE174" s="546"/>
      <c r="AF174" s="546"/>
      <c r="AG174" s="546"/>
      <c r="AH174" s="546"/>
      <c r="AI174" s="546"/>
    </row>
    <row r="175">
      <c r="B175" s="660" t="s">
        <v>2110</v>
      </c>
      <c r="C175" s="551" t="s">
        <v>3880</v>
      </c>
      <c r="D175" s="661" t="s">
        <v>3762</v>
      </c>
      <c r="E175" s="662"/>
      <c r="F175" s="707"/>
      <c r="G175" s="545">
        <v>741.0</v>
      </c>
      <c r="H175" s="545">
        <v>152.0</v>
      </c>
      <c r="I175" s="545">
        <v>1.0</v>
      </c>
      <c r="J175" s="545">
        <v>1.0</v>
      </c>
      <c r="K175" s="545">
        <v>1.0</v>
      </c>
      <c r="L175" s="546"/>
      <c r="M175" s="545">
        <v>1.0</v>
      </c>
      <c r="N175" s="545">
        <v>1.0</v>
      </c>
      <c r="O175" s="546"/>
      <c r="P175" s="546"/>
      <c r="Q175" s="546"/>
      <c r="R175" s="545">
        <v>1.0</v>
      </c>
      <c r="S175" s="545"/>
      <c r="T175" s="545">
        <v>1.0</v>
      </c>
      <c r="U175" s="545" t="str">
        <f t="shared" si="1"/>
        <v/>
      </c>
      <c r="V175" s="546"/>
      <c r="W175" s="546"/>
      <c r="X175" s="546"/>
      <c r="Y175" s="546"/>
      <c r="Z175" s="546"/>
      <c r="AA175" s="546"/>
      <c r="AB175" s="546"/>
      <c r="AC175" s="546"/>
      <c r="AD175" s="546"/>
      <c r="AE175" s="546"/>
      <c r="AF175" s="546"/>
      <c r="AG175" s="546"/>
      <c r="AH175" s="546"/>
      <c r="AI175" s="546"/>
    </row>
    <row r="176">
      <c r="B176" s="660" t="s">
        <v>2105</v>
      </c>
      <c r="C176" s="551" t="s">
        <v>3883</v>
      </c>
      <c r="D176" s="661" t="s">
        <v>3881</v>
      </c>
      <c r="E176" s="663" t="s">
        <v>3728</v>
      </c>
      <c r="F176" s="706"/>
      <c r="G176" s="545">
        <v>396.0</v>
      </c>
      <c r="H176" s="545">
        <v>175.0</v>
      </c>
      <c r="I176" s="546"/>
      <c r="J176" s="546"/>
      <c r="K176" s="546"/>
      <c r="L176" s="546"/>
      <c r="M176" s="546"/>
      <c r="N176" s="546"/>
      <c r="O176" s="546"/>
      <c r="P176" s="546"/>
      <c r="Q176" s="546"/>
      <c r="R176" s="546"/>
      <c r="S176" s="545"/>
      <c r="T176" s="545"/>
      <c r="U176" s="545" t="str">
        <f t="shared" si="1"/>
        <v/>
      </c>
      <c r="V176" s="546"/>
      <c r="W176" s="546"/>
      <c r="X176" s="546"/>
      <c r="Y176" s="546"/>
      <c r="Z176" s="546"/>
      <c r="AA176" s="546"/>
      <c r="AB176" s="546"/>
      <c r="AC176" s="546"/>
      <c r="AD176" s="546"/>
      <c r="AE176" s="546"/>
      <c r="AF176" s="546"/>
      <c r="AG176" s="546"/>
      <c r="AH176" s="546"/>
      <c r="AI176" s="546"/>
    </row>
    <row r="177">
      <c r="B177" s="660" t="s">
        <v>2100</v>
      </c>
      <c r="C177" s="551" t="s">
        <v>3885</v>
      </c>
      <c r="D177" s="661" t="s">
        <v>3757</v>
      </c>
      <c r="E177" s="662"/>
      <c r="F177" s="706" t="s">
        <v>4525</v>
      </c>
      <c r="G177" s="545">
        <v>104.0</v>
      </c>
      <c r="H177" s="545">
        <v>4.0</v>
      </c>
      <c r="I177" s="545">
        <v>1.0</v>
      </c>
      <c r="J177" s="546"/>
      <c r="K177" s="545">
        <v>1.0</v>
      </c>
      <c r="L177" s="546"/>
      <c r="M177" s="546"/>
      <c r="N177" s="546"/>
      <c r="O177" s="546"/>
      <c r="P177" s="546"/>
      <c r="Q177" s="546"/>
      <c r="R177" s="545">
        <v>1.0</v>
      </c>
      <c r="S177" s="545"/>
      <c r="T177" s="545"/>
      <c r="U177" s="545" t="str">
        <f t="shared" si="1"/>
        <v/>
      </c>
      <c r="V177" s="546"/>
      <c r="W177" s="546"/>
      <c r="X177" s="546"/>
      <c r="Y177" s="546"/>
      <c r="Z177" s="546"/>
      <c r="AA177" s="546"/>
      <c r="AB177" s="546"/>
      <c r="AC177" s="546"/>
      <c r="AD177" s="546"/>
      <c r="AE177" s="546"/>
      <c r="AF177" s="546"/>
      <c r="AG177" s="546"/>
      <c r="AH177" s="546"/>
      <c r="AI177" s="546"/>
    </row>
    <row r="178">
      <c r="B178" s="660" t="s">
        <v>2095</v>
      </c>
      <c r="C178" s="551" t="s">
        <v>3887</v>
      </c>
      <c r="D178" s="661" t="s">
        <v>642</v>
      </c>
      <c r="E178" s="662"/>
      <c r="F178" s="706" t="s">
        <v>4260</v>
      </c>
      <c r="G178" s="545">
        <v>162.0</v>
      </c>
      <c r="H178" s="545">
        <v>40.0</v>
      </c>
      <c r="I178" s="546"/>
      <c r="J178" s="545">
        <v>1.0</v>
      </c>
      <c r="K178" s="545">
        <v>1.0</v>
      </c>
      <c r="L178" s="545">
        <v>1.0</v>
      </c>
      <c r="M178" s="546"/>
      <c r="N178" s="546"/>
      <c r="O178" s="545"/>
      <c r="P178" s="545">
        <v>1.0</v>
      </c>
      <c r="Q178" s="546"/>
      <c r="R178" s="545">
        <v>1.0</v>
      </c>
      <c r="S178" s="545"/>
      <c r="T178" s="545"/>
      <c r="U178" s="545" t="str">
        <f t="shared" si="1"/>
        <v/>
      </c>
      <c r="V178" s="546"/>
      <c r="W178" s="546"/>
      <c r="X178" s="546"/>
      <c r="Y178" s="546"/>
      <c r="Z178" s="546"/>
      <c r="AA178" s="546"/>
      <c r="AB178" s="546"/>
      <c r="AC178" s="546"/>
      <c r="AD178" s="546"/>
      <c r="AE178" s="546"/>
      <c r="AF178" s="546"/>
      <c r="AG178" s="546"/>
      <c r="AH178" s="546"/>
      <c r="AI178" s="546"/>
    </row>
    <row r="179">
      <c r="B179" s="660" t="s">
        <v>2090</v>
      </c>
      <c r="C179" s="551" t="s">
        <v>3890</v>
      </c>
      <c r="D179" s="661" t="s">
        <v>3888</v>
      </c>
      <c r="E179" s="663" t="s">
        <v>3728</v>
      </c>
      <c r="F179" s="706"/>
      <c r="G179" s="545">
        <v>158.0</v>
      </c>
      <c r="H179" s="545">
        <v>0.0</v>
      </c>
      <c r="I179" s="546"/>
      <c r="J179" s="546"/>
      <c r="K179" s="546"/>
      <c r="L179" s="546"/>
      <c r="M179" s="546"/>
      <c r="N179" s="546"/>
      <c r="O179" s="546"/>
      <c r="P179" s="546"/>
      <c r="Q179" s="546"/>
      <c r="R179" s="546"/>
      <c r="S179" s="545"/>
      <c r="T179" s="545"/>
      <c r="U179" s="545" t="str">
        <f t="shared" si="1"/>
        <v/>
      </c>
      <c r="V179" s="546"/>
      <c r="W179" s="546"/>
      <c r="X179" s="546"/>
      <c r="Y179" s="546"/>
      <c r="Z179" s="546"/>
      <c r="AA179" s="546"/>
      <c r="AB179" s="546"/>
      <c r="AC179" s="546"/>
      <c r="AD179" s="546"/>
      <c r="AE179" s="546"/>
      <c r="AF179" s="546"/>
      <c r="AG179" s="546"/>
      <c r="AH179" s="546"/>
      <c r="AI179" s="546"/>
    </row>
    <row r="180">
      <c r="B180" s="660" t="s">
        <v>2085</v>
      </c>
      <c r="C180" s="551" t="s">
        <v>3891</v>
      </c>
      <c r="D180" s="661" t="s">
        <v>2572</v>
      </c>
      <c r="E180" s="662"/>
      <c r="F180" s="706" t="s">
        <v>4526</v>
      </c>
      <c r="G180" s="545">
        <v>581.0</v>
      </c>
      <c r="H180" s="545">
        <v>472.0</v>
      </c>
      <c r="I180" s="545">
        <v>1.0</v>
      </c>
      <c r="J180" s="546"/>
      <c r="K180" s="545">
        <v>1.0</v>
      </c>
      <c r="L180" s="546"/>
      <c r="M180" s="545">
        <v>1.0</v>
      </c>
      <c r="N180" s="546"/>
      <c r="O180" s="545">
        <v>1.0</v>
      </c>
      <c r="P180" s="546"/>
      <c r="Q180" s="546"/>
      <c r="R180" s="545">
        <v>1.0</v>
      </c>
      <c r="S180" s="545">
        <v>1.0</v>
      </c>
      <c r="T180" s="545"/>
      <c r="U180" s="545" t="str">
        <f t="shared" si="1"/>
        <v/>
      </c>
      <c r="V180" s="546"/>
      <c r="W180" s="546"/>
      <c r="X180" s="546"/>
      <c r="Y180" s="546"/>
      <c r="Z180" s="546"/>
      <c r="AA180" s="546"/>
      <c r="AB180" s="546"/>
      <c r="AC180" s="546"/>
      <c r="AD180" s="546"/>
      <c r="AE180" s="546"/>
      <c r="AF180" s="546"/>
      <c r="AG180" s="546"/>
      <c r="AH180" s="546"/>
      <c r="AI180" s="546"/>
    </row>
    <row r="181">
      <c r="B181" s="660" t="s">
        <v>2080</v>
      </c>
      <c r="C181" s="551" t="s">
        <v>3893</v>
      </c>
      <c r="D181" s="661" t="s">
        <v>2565</v>
      </c>
      <c r="E181" s="662"/>
      <c r="F181" s="706" t="s">
        <v>4260</v>
      </c>
      <c r="G181" s="545">
        <v>711.0</v>
      </c>
      <c r="H181" s="545">
        <v>13.0</v>
      </c>
      <c r="I181" s="545">
        <v>1.0</v>
      </c>
      <c r="J181" s="546"/>
      <c r="K181" s="545">
        <v>1.0</v>
      </c>
      <c r="L181" s="545">
        <v>1.0</v>
      </c>
      <c r="M181" s="545">
        <v>1.0</v>
      </c>
      <c r="N181" s="546"/>
      <c r="O181" s="545"/>
      <c r="P181" s="545">
        <v>1.0</v>
      </c>
      <c r="Q181" s="546"/>
      <c r="R181" s="545">
        <v>1.0</v>
      </c>
      <c r="S181" s="545"/>
      <c r="T181" s="545"/>
      <c r="U181" s="545" t="str">
        <f t="shared" si="1"/>
        <v/>
      </c>
      <c r="V181" s="546"/>
      <c r="W181" s="546"/>
      <c r="X181" s="546"/>
      <c r="Y181" s="546"/>
      <c r="Z181" s="546"/>
      <c r="AA181" s="546"/>
      <c r="AB181" s="546"/>
      <c r="AC181" s="546"/>
      <c r="AD181" s="546"/>
      <c r="AE181" s="546"/>
      <c r="AF181" s="546"/>
      <c r="AG181" s="546"/>
      <c r="AH181" s="546"/>
      <c r="AI181" s="546"/>
    </row>
    <row r="182">
      <c r="B182" s="660" t="s">
        <v>2075</v>
      </c>
      <c r="C182" s="551" t="s">
        <v>3895</v>
      </c>
      <c r="D182" s="661" t="s">
        <v>2558</v>
      </c>
      <c r="E182" s="663" t="s">
        <v>3728</v>
      </c>
      <c r="F182" s="706" t="s">
        <v>4527</v>
      </c>
      <c r="G182" s="545">
        <v>329.0</v>
      </c>
      <c r="H182" s="545">
        <v>6.0</v>
      </c>
      <c r="I182" s="546"/>
      <c r="J182" s="546"/>
      <c r="K182" s="546"/>
      <c r="L182" s="546"/>
      <c r="M182" s="546"/>
      <c r="N182" s="546"/>
      <c r="O182" s="546"/>
      <c r="P182" s="546"/>
      <c r="Q182" s="546"/>
      <c r="R182" s="546"/>
      <c r="S182" s="545"/>
      <c r="T182" s="545"/>
      <c r="U182" s="545" t="str">
        <f t="shared" si="1"/>
        <v/>
      </c>
      <c r="V182" s="546"/>
      <c r="W182" s="546"/>
      <c r="X182" s="546"/>
      <c r="Y182" s="546"/>
      <c r="Z182" s="546"/>
      <c r="AA182" s="546"/>
      <c r="AB182" s="546"/>
      <c r="AC182" s="546"/>
      <c r="AD182" s="546"/>
      <c r="AE182" s="546"/>
      <c r="AF182" s="546"/>
      <c r="AG182" s="546"/>
      <c r="AH182" s="546"/>
      <c r="AI182" s="546"/>
    </row>
    <row r="183">
      <c r="B183" s="660" t="s">
        <v>2070</v>
      </c>
      <c r="C183" s="551" t="s">
        <v>3898</v>
      </c>
      <c r="D183" s="661" t="s">
        <v>3896</v>
      </c>
      <c r="E183" s="662"/>
      <c r="F183" s="706" t="s">
        <v>4528</v>
      </c>
      <c r="G183" s="546"/>
      <c r="H183" s="546"/>
      <c r="I183" s="546"/>
      <c r="J183" s="546"/>
      <c r="K183" s="546"/>
      <c r="L183" s="546"/>
      <c r="M183" s="546"/>
      <c r="N183" s="546"/>
      <c r="O183" s="546"/>
      <c r="P183" s="546"/>
      <c r="Q183" s="546"/>
      <c r="R183" s="545">
        <v>1.0</v>
      </c>
      <c r="S183" s="545"/>
      <c r="T183" s="545"/>
      <c r="U183" s="545" t="str">
        <f t="shared" si="1"/>
        <v/>
      </c>
      <c r="V183" s="545">
        <v>1.0</v>
      </c>
      <c r="W183" s="552"/>
      <c r="X183" s="546"/>
      <c r="Y183" s="546"/>
      <c r="Z183" s="546"/>
      <c r="AA183" s="546"/>
      <c r="AB183" s="546"/>
      <c r="AC183" s="546"/>
      <c r="AD183" s="546"/>
      <c r="AE183" s="546"/>
      <c r="AF183" s="546"/>
      <c r="AG183" s="546"/>
      <c r="AH183" s="546"/>
      <c r="AI183" s="546"/>
    </row>
    <row r="184">
      <c r="B184" s="660" t="s">
        <v>2065</v>
      </c>
      <c r="C184" s="551" t="s">
        <v>3900</v>
      </c>
      <c r="D184" s="661" t="s">
        <v>2513</v>
      </c>
      <c r="E184" s="662"/>
      <c r="F184" s="706" t="s">
        <v>4529</v>
      </c>
      <c r="G184" s="545">
        <v>761.0</v>
      </c>
      <c r="H184" s="545">
        <v>9.0</v>
      </c>
      <c r="I184" s="546"/>
      <c r="J184" s="546"/>
      <c r="K184" s="546"/>
      <c r="L184" s="546"/>
      <c r="M184" s="546"/>
      <c r="N184" s="546"/>
      <c r="O184" s="545">
        <v>1.0</v>
      </c>
      <c r="P184" s="546"/>
      <c r="Q184" s="546"/>
      <c r="R184" s="545">
        <v>1.0</v>
      </c>
      <c r="S184" s="545"/>
      <c r="T184" s="545"/>
      <c r="U184" s="545" t="str">
        <f t="shared" si="1"/>
        <v/>
      </c>
      <c r="V184" s="546"/>
      <c r="W184" s="546"/>
      <c r="X184" s="546"/>
      <c r="Y184" s="546"/>
      <c r="Z184" s="546"/>
      <c r="AA184" s="546"/>
      <c r="AB184" s="546"/>
      <c r="AC184" s="546"/>
      <c r="AD184" s="546"/>
      <c r="AE184" s="546"/>
      <c r="AF184" s="546"/>
      <c r="AG184" s="546"/>
      <c r="AH184" s="546"/>
      <c r="AI184" s="546"/>
    </row>
    <row r="185">
      <c r="B185" s="660" t="s">
        <v>2060</v>
      </c>
      <c r="C185" s="551" t="s">
        <v>3901</v>
      </c>
      <c r="D185" s="661" t="s">
        <v>2507</v>
      </c>
      <c r="E185" s="663" t="s">
        <v>3728</v>
      </c>
      <c r="F185" s="706"/>
      <c r="G185" s="546"/>
      <c r="H185" s="546"/>
      <c r="I185" s="546"/>
      <c r="J185" s="546"/>
      <c r="K185" s="546"/>
      <c r="L185" s="546"/>
      <c r="M185" s="546"/>
      <c r="N185" s="546"/>
      <c r="O185" s="546"/>
      <c r="P185" s="546"/>
      <c r="Q185" s="546"/>
      <c r="R185" s="546"/>
      <c r="S185" s="545"/>
      <c r="T185" s="545"/>
      <c r="U185" s="545" t="str">
        <f t="shared" si="1"/>
        <v/>
      </c>
      <c r="V185" s="546"/>
      <c r="W185" s="546"/>
      <c r="X185" s="546"/>
      <c r="Y185" s="546"/>
      <c r="Z185" s="546"/>
      <c r="AA185" s="546"/>
      <c r="AB185" s="546"/>
      <c r="AC185" s="546"/>
      <c r="AD185" s="546"/>
      <c r="AE185" s="546"/>
      <c r="AF185" s="546"/>
      <c r="AG185" s="546"/>
      <c r="AH185" s="546"/>
      <c r="AI185" s="546"/>
    </row>
    <row r="186">
      <c r="B186" s="660" t="s">
        <v>2055</v>
      </c>
      <c r="C186" s="551" t="s">
        <v>3902</v>
      </c>
      <c r="D186" s="661" t="s">
        <v>3765</v>
      </c>
      <c r="E186" s="662"/>
      <c r="F186" s="707"/>
      <c r="G186" s="545">
        <v>573.0</v>
      </c>
      <c r="H186" s="545">
        <v>59.0</v>
      </c>
      <c r="I186" s="546"/>
      <c r="J186" s="546"/>
      <c r="K186" s="545"/>
      <c r="L186" s="545">
        <v>1.0</v>
      </c>
      <c r="M186" s="546"/>
      <c r="N186" s="546"/>
      <c r="O186" s="545">
        <v>1.0</v>
      </c>
      <c r="P186" s="546"/>
      <c r="Q186" s="546"/>
      <c r="R186" s="546"/>
      <c r="S186" s="545"/>
      <c r="T186" s="545"/>
      <c r="U186" s="545" t="str">
        <f t="shared" si="1"/>
        <v/>
      </c>
      <c r="V186" s="546"/>
      <c r="W186" s="546"/>
      <c r="X186" s="546"/>
      <c r="Y186" s="546"/>
      <c r="Z186" s="546"/>
      <c r="AA186" s="546"/>
      <c r="AB186" s="546"/>
      <c r="AC186" s="546"/>
      <c r="AD186" s="546"/>
      <c r="AE186" s="546"/>
      <c r="AF186" s="546"/>
      <c r="AG186" s="546"/>
      <c r="AH186" s="546"/>
      <c r="AI186" s="546"/>
    </row>
    <row r="187">
      <c r="B187" s="660" t="s">
        <v>2050</v>
      </c>
      <c r="C187" s="551" t="s">
        <v>3903</v>
      </c>
      <c r="D187" s="661" t="s">
        <v>3767</v>
      </c>
      <c r="E187" s="663" t="s">
        <v>3728</v>
      </c>
      <c r="F187" s="706" t="s">
        <v>4530</v>
      </c>
      <c r="G187" s="546"/>
      <c r="H187" s="546"/>
      <c r="I187" s="546"/>
      <c r="J187" s="546"/>
      <c r="K187" s="546"/>
      <c r="L187" s="546"/>
      <c r="M187" s="546"/>
      <c r="N187" s="546"/>
      <c r="O187" s="546"/>
      <c r="P187" s="546"/>
      <c r="Q187" s="546"/>
      <c r="R187" s="546"/>
      <c r="S187" s="545"/>
      <c r="T187" s="545"/>
      <c r="U187" s="545" t="str">
        <f t="shared" si="1"/>
        <v/>
      </c>
      <c r="V187" s="546"/>
      <c r="W187" s="546"/>
      <c r="X187" s="546"/>
      <c r="Y187" s="546"/>
      <c r="Z187" s="546"/>
      <c r="AA187" s="546"/>
      <c r="AB187" s="546"/>
      <c r="AC187" s="546"/>
      <c r="AD187" s="546"/>
      <c r="AE187" s="546"/>
      <c r="AF187" s="546"/>
      <c r="AG187" s="546"/>
      <c r="AH187" s="546"/>
      <c r="AI187" s="546"/>
    </row>
    <row r="188">
      <c r="B188" s="660" t="s">
        <v>2045</v>
      </c>
      <c r="C188" s="551" t="s">
        <v>3906</v>
      </c>
      <c r="D188" s="661" t="s">
        <v>3904</v>
      </c>
      <c r="E188" s="662"/>
      <c r="F188" s="706" t="s">
        <v>4260</v>
      </c>
      <c r="G188" s="545">
        <v>85082.0</v>
      </c>
      <c r="H188" s="545">
        <v>62.0</v>
      </c>
      <c r="I188" s="545">
        <v>1.0</v>
      </c>
      <c r="J188" s="545">
        <v>1.0</v>
      </c>
      <c r="K188" s="546"/>
      <c r="L188" s="546"/>
      <c r="M188" s="546"/>
      <c r="N188" s="546"/>
      <c r="O188" s="546"/>
      <c r="P188" s="546"/>
      <c r="Q188" s="546"/>
      <c r="R188" s="546"/>
      <c r="S188" s="545"/>
      <c r="T188" s="545">
        <v>1.0</v>
      </c>
      <c r="U188" s="545" t="str">
        <f t="shared" si="1"/>
        <v/>
      </c>
      <c r="V188" s="546"/>
      <c r="W188" s="546"/>
      <c r="X188" s="546"/>
      <c r="Y188" s="546"/>
      <c r="Z188" s="546"/>
      <c r="AA188" s="546"/>
      <c r="AB188" s="546"/>
      <c r="AC188" s="546"/>
      <c r="AD188" s="546"/>
      <c r="AE188" s="546"/>
      <c r="AF188" s="546"/>
      <c r="AG188" s="546"/>
      <c r="AH188" s="546"/>
      <c r="AI188" s="546"/>
    </row>
    <row r="189">
      <c r="B189" s="660" t="s">
        <v>2040</v>
      </c>
      <c r="C189" s="551" t="s">
        <v>3908</v>
      </c>
      <c r="D189" s="661" t="s">
        <v>3907</v>
      </c>
      <c r="E189" s="662"/>
      <c r="F189" s="706" t="s">
        <v>398</v>
      </c>
      <c r="G189" s="545">
        <v>94.0</v>
      </c>
      <c r="H189" s="545">
        <v>2.0</v>
      </c>
      <c r="I189" s="545">
        <v>1.0</v>
      </c>
      <c r="J189" s="546"/>
      <c r="K189" s="545">
        <v>1.0</v>
      </c>
      <c r="L189" s="546"/>
      <c r="M189" s="546"/>
      <c r="N189" s="546"/>
      <c r="O189" s="546"/>
      <c r="P189" s="546"/>
      <c r="Q189" s="546"/>
      <c r="R189" s="545">
        <v>1.0</v>
      </c>
      <c r="S189" s="545"/>
      <c r="T189" s="545"/>
      <c r="U189" s="545" t="str">
        <f t="shared" si="1"/>
        <v/>
      </c>
      <c r="V189" s="546"/>
      <c r="W189" s="546"/>
      <c r="X189" s="546"/>
      <c r="Y189" s="546"/>
      <c r="Z189" s="546"/>
      <c r="AA189" s="546"/>
      <c r="AB189" s="546"/>
      <c r="AC189" s="546"/>
      <c r="AD189" s="546"/>
      <c r="AE189" s="546"/>
      <c r="AF189" s="546"/>
      <c r="AG189" s="546"/>
      <c r="AH189" s="546"/>
      <c r="AI189" s="546"/>
    </row>
    <row r="190">
      <c r="B190" s="660" t="s">
        <v>2034</v>
      </c>
      <c r="C190" s="551" t="s">
        <v>3911</v>
      </c>
      <c r="D190" s="661" t="s">
        <v>3909</v>
      </c>
      <c r="E190" s="662"/>
      <c r="F190" s="706" t="s">
        <v>4260</v>
      </c>
      <c r="G190" s="545">
        <v>105.0</v>
      </c>
      <c r="H190" s="545">
        <v>28.0</v>
      </c>
      <c r="I190" s="545">
        <v>1.0</v>
      </c>
      <c r="J190" s="545"/>
      <c r="K190" s="545">
        <v>1.0</v>
      </c>
      <c r="L190" s="546"/>
      <c r="M190" s="546"/>
      <c r="N190" s="546"/>
      <c r="O190" s="546"/>
      <c r="P190" s="546"/>
      <c r="Q190" s="546"/>
      <c r="R190" s="545">
        <v>1.0</v>
      </c>
      <c r="S190" s="545"/>
      <c r="T190" s="545"/>
      <c r="U190" s="545" t="str">
        <f t="shared" si="1"/>
        <v/>
      </c>
      <c r="V190" s="546"/>
      <c r="W190" s="546"/>
      <c r="X190" s="546"/>
      <c r="Y190" s="546"/>
      <c r="Z190" s="546"/>
      <c r="AA190" s="546"/>
      <c r="AB190" s="546"/>
      <c r="AC190" s="546"/>
      <c r="AD190" s="546"/>
      <c r="AE190" s="546"/>
      <c r="AF190" s="546"/>
      <c r="AG190" s="546"/>
      <c r="AH190" s="546"/>
      <c r="AI190" s="546"/>
    </row>
    <row r="191">
      <c r="B191" s="660" t="s">
        <v>2029</v>
      </c>
      <c r="C191" s="551" t="s">
        <v>3914</v>
      </c>
      <c r="D191" s="661" t="s">
        <v>3912</v>
      </c>
      <c r="E191" s="663" t="s">
        <v>3728</v>
      </c>
      <c r="F191" s="706"/>
      <c r="G191" s="545">
        <v>82.0</v>
      </c>
      <c r="H191" s="545">
        <v>11.0</v>
      </c>
      <c r="I191" s="546"/>
      <c r="J191" s="546"/>
      <c r="K191" s="546"/>
      <c r="L191" s="546"/>
      <c r="M191" s="546"/>
      <c r="N191" s="546"/>
      <c r="O191" s="546"/>
      <c r="P191" s="546"/>
      <c r="Q191" s="546"/>
      <c r="R191" s="546"/>
      <c r="S191" s="545"/>
      <c r="T191" s="545"/>
      <c r="U191" s="545" t="str">
        <f t="shared" si="1"/>
        <v/>
      </c>
      <c r="V191" s="546"/>
      <c r="W191" s="546"/>
      <c r="X191" s="546"/>
      <c r="Y191" s="546"/>
      <c r="Z191" s="546"/>
      <c r="AA191" s="546"/>
      <c r="AB191" s="546"/>
      <c r="AC191" s="546"/>
      <c r="AD191" s="546"/>
      <c r="AE191" s="546"/>
      <c r="AF191" s="546"/>
      <c r="AG191" s="546"/>
      <c r="AH191" s="546"/>
      <c r="AI191" s="546"/>
    </row>
    <row r="192">
      <c r="B192" s="660" t="s">
        <v>2024</v>
      </c>
      <c r="C192" s="551" t="s">
        <v>3918</v>
      </c>
      <c r="D192" s="661" t="s">
        <v>3915</v>
      </c>
      <c r="E192" s="662"/>
      <c r="F192" s="707"/>
      <c r="G192" s="545">
        <v>2506.0</v>
      </c>
      <c r="H192" s="545">
        <v>47.0</v>
      </c>
      <c r="I192" s="546"/>
      <c r="J192" s="546"/>
      <c r="K192" s="545">
        <v>1.0</v>
      </c>
      <c r="L192" s="546"/>
      <c r="M192" s="546"/>
      <c r="N192" s="546"/>
      <c r="O192" s="545">
        <v>1.0</v>
      </c>
      <c r="P192" s="545">
        <v>1.0</v>
      </c>
      <c r="Q192" s="545">
        <v>1.0</v>
      </c>
      <c r="R192" s="545">
        <v>1.0</v>
      </c>
      <c r="S192" s="545"/>
      <c r="T192" s="545">
        <v>1.0</v>
      </c>
      <c r="U192" s="545" t="str">
        <f t="shared" si="1"/>
        <v/>
      </c>
      <c r="V192" s="546"/>
      <c r="W192" s="546"/>
      <c r="X192" s="546"/>
      <c r="Y192" s="546"/>
      <c r="Z192" s="546"/>
      <c r="AA192" s="546"/>
      <c r="AB192" s="546"/>
      <c r="AC192" s="546"/>
      <c r="AD192" s="546"/>
      <c r="AE192" s="546"/>
      <c r="AF192" s="546"/>
      <c r="AG192" s="546"/>
      <c r="AH192" s="546"/>
      <c r="AI192" s="546"/>
    </row>
    <row r="193">
      <c r="B193" s="660" t="s">
        <v>2008</v>
      </c>
      <c r="C193" s="551" t="s">
        <v>3920</v>
      </c>
      <c r="D193" s="661" t="s">
        <v>3769</v>
      </c>
      <c r="E193" s="662"/>
      <c r="F193" s="707"/>
      <c r="G193" s="545">
        <v>555.0</v>
      </c>
      <c r="H193" s="545">
        <v>45.0</v>
      </c>
      <c r="I193" s="546"/>
      <c r="J193" s="545">
        <v>1.0</v>
      </c>
      <c r="K193" s="545">
        <v>1.0</v>
      </c>
      <c r="L193" s="545">
        <v>1.0</v>
      </c>
      <c r="M193" s="546"/>
      <c r="N193" s="546"/>
      <c r="O193" s="545">
        <v>1.0</v>
      </c>
      <c r="P193" s="546"/>
      <c r="Q193" s="546"/>
      <c r="R193" s="545">
        <v>1.0</v>
      </c>
      <c r="S193" s="545"/>
      <c r="T193" s="545"/>
      <c r="U193" s="545" t="str">
        <f t="shared" si="1"/>
        <v/>
      </c>
      <c r="V193" s="545">
        <v>1.0</v>
      </c>
      <c r="W193" s="546"/>
      <c r="X193" s="546"/>
      <c r="Y193" s="546"/>
      <c r="Z193" s="546"/>
      <c r="AA193" s="546"/>
      <c r="AB193" s="546"/>
      <c r="AC193" s="546"/>
      <c r="AD193" s="546"/>
      <c r="AE193" s="546"/>
      <c r="AF193" s="546"/>
      <c r="AG193" s="546"/>
      <c r="AH193" s="546"/>
      <c r="AI193" s="546"/>
    </row>
    <row r="194">
      <c r="B194" s="660" t="s">
        <v>2003</v>
      </c>
      <c r="C194" s="551" t="s">
        <v>3922</v>
      </c>
      <c r="D194" s="661" t="s">
        <v>3759</v>
      </c>
      <c r="E194" s="662"/>
      <c r="F194" s="706" t="s">
        <v>4531</v>
      </c>
      <c r="G194" s="545">
        <v>678.0</v>
      </c>
      <c r="H194" s="545">
        <v>136.0</v>
      </c>
      <c r="I194" s="545">
        <v>1.0</v>
      </c>
      <c r="J194" s="546"/>
      <c r="K194" s="545">
        <v>1.0</v>
      </c>
      <c r="L194" s="545">
        <v>1.0</v>
      </c>
      <c r="M194" s="546"/>
      <c r="N194" s="546"/>
      <c r="O194" s="546"/>
      <c r="P194" s="546"/>
      <c r="Q194" s="546"/>
      <c r="R194" s="545">
        <v>1.0</v>
      </c>
      <c r="S194" s="545"/>
      <c r="T194" s="545">
        <v>1.0</v>
      </c>
      <c r="U194" s="545" t="str">
        <f t="shared" si="1"/>
        <v/>
      </c>
      <c r="V194" s="545">
        <v>1.0</v>
      </c>
      <c r="W194" s="546"/>
      <c r="X194" s="546"/>
      <c r="Y194" s="546"/>
      <c r="Z194" s="546"/>
      <c r="AA194" s="546"/>
      <c r="AB194" s="546"/>
      <c r="AC194" s="546"/>
      <c r="AD194" s="546"/>
      <c r="AE194" s="546"/>
      <c r="AF194" s="546"/>
      <c r="AG194" s="546"/>
      <c r="AH194" s="546"/>
      <c r="AI194" s="546"/>
    </row>
    <row r="195">
      <c r="B195" s="660" t="s">
        <v>1997</v>
      </c>
      <c r="C195" s="551" t="s">
        <v>3925</v>
      </c>
      <c r="D195" s="661" t="s">
        <v>3923</v>
      </c>
      <c r="E195" s="662"/>
      <c r="F195" s="706" t="s">
        <v>4532</v>
      </c>
      <c r="G195" s="546"/>
      <c r="H195" s="546"/>
      <c r="I195" s="545">
        <v>1.0</v>
      </c>
      <c r="J195" s="545">
        <v>1.0</v>
      </c>
      <c r="K195" s="545">
        <v>1.0</v>
      </c>
      <c r="L195" s="546"/>
      <c r="M195" s="546"/>
      <c r="N195" s="546"/>
      <c r="O195" s="546"/>
      <c r="P195" s="546"/>
      <c r="Q195" s="546"/>
      <c r="R195" s="546"/>
      <c r="S195" s="545"/>
      <c r="T195" s="545"/>
      <c r="U195" s="545" t="str">
        <f t="shared" si="1"/>
        <v/>
      </c>
      <c r="V195" s="546"/>
      <c r="W195" s="546"/>
      <c r="X195" s="546"/>
      <c r="Y195" s="546"/>
      <c r="Z195" s="546"/>
      <c r="AA195" s="546"/>
      <c r="AB195" s="546"/>
      <c r="AC195" s="546"/>
      <c r="AD195" s="546"/>
      <c r="AE195" s="546"/>
      <c r="AF195" s="546"/>
      <c r="AG195" s="546"/>
      <c r="AH195" s="546"/>
      <c r="AI195" s="546"/>
    </row>
    <row r="196">
      <c r="B196" s="660" t="s">
        <v>1987</v>
      </c>
      <c r="C196" s="551" t="s">
        <v>3927</v>
      </c>
      <c r="D196" s="661" t="s">
        <v>3926</v>
      </c>
      <c r="E196" s="662"/>
      <c r="F196" s="706" t="s">
        <v>4533</v>
      </c>
      <c r="G196" s="546"/>
      <c r="H196" s="546"/>
      <c r="I196" s="546"/>
      <c r="J196" s="546"/>
      <c r="K196" s="546"/>
      <c r="L196" s="545">
        <v>1.0</v>
      </c>
      <c r="M196" s="546"/>
      <c r="N196" s="545">
        <v>1.0</v>
      </c>
      <c r="O196" s="546"/>
      <c r="P196" s="546"/>
      <c r="Q196" s="546"/>
      <c r="R196" s="546"/>
      <c r="S196" s="545"/>
      <c r="T196" s="545"/>
      <c r="U196" s="545" t="str">
        <f t="shared" si="1"/>
        <v/>
      </c>
      <c r="V196" s="546"/>
      <c r="W196" s="546"/>
      <c r="X196" s="546"/>
      <c r="Y196" s="546"/>
      <c r="Z196" s="546"/>
      <c r="AA196" s="546"/>
      <c r="AB196" s="546"/>
      <c r="AC196" s="546"/>
      <c r="AD196" s="546"/>
      <c r="AE196" s="546"/>
      <c r="AF196" s="546"/>
      <c r="AG196" s="546"/>
      <c r="AH196" s="546"/>
      <c r="AI196" s="546"/>
    </row>
    <row r="197">
      <c r="B197" s="660" t="s">
        <v>1982</v>
      </c>
      <c r="C197" s="551" t="s">
        <v>3931</v>
      </c>
      <c r="D197" s="661" t="s">
        <v>3928</v>
      </c>
      <c r="E197" s="663" t="s">
        <v>1263</v>
      </c>
      <c r="F197" s="706" t="s">
        <v>4534</v>
      </c>
      <c r="G197" s="545">
        <v>172.0</v>
      </c>
      <c r="H197" s="545">
        <v>115.0</v>
      </c>
      <c r="I197" s="546"/>
      <c r="J197" s="546"/>
      <c r="K197" s="545">
        <v>1.0</v>
      </c>
      <c r="L197" s="546"/>
      <c r="M197" s="546"/>
      <c r="N197" s="546"/>
      <c r="O197" s="546"/>
      <c r="P197" s="546"/>
      <c r="Q197" s="546"/>
      <c r="R197" s="545"/>
      <c r="S197" s="545"/>
      <c r="T197" s="545">
        <v>1.0</v>
      </c>
      <c r="U197" s="545" t="str">
        <f t="shared" si="1"/>
        <v/>
      </c>
      <c r="V197" s="546"/>
      <c r="W197" s="546"/>
      <c r="X197" s="546"/>
      <c r="Y197" s="546"/>
      <c r="Z197" s="546"/>
      <c r="AA197" s="546"/>
      <c r="AB197" s="546"/>
      <c r="AC197" s="546"/>
      <c r="AD197" s="546"/>
      <c r="AE197" s="546"/>
      <c r="AF197" s="546"/>
      <c r="AG197" s="546"/>
      <c r="AH197" s="546"/>
      <c r="AI197" s="546"/>
    </row>
    <row r="198">
      <c r="B198" s="660" t="s">
        <v>1977</v>
      </c>
      <c r="C198" s="551" t="s">
        <v>3932</v>
      </c>
      <c r="D198" s="661" t="s">
        <v>3771</v>
      </c>
      <c r="E198" s="662"/>
      <c r="F198" s="706" t="s">
        <v>4260</v>
      </c>
      <c r="G198" s="545">
        <v>240.0</v>
      </c>
      <c r="H198" s="545">
        <v>16.0</v>
      </c>
      <c r="I198" s="546"/>
      <c r="J198" s="546"/>
      <c r="K198" s="546"/>
      <c r="L198" s="545">
        <v>1.0</v>
      </c>
      <c r="M198" s="546"/>
      <c r="N198" s="545">
        <v>1.0</v>
      </c>
      <c r="O198" s="545">
        <v>1.0</v>
      </c>
      <c r="P198" s="545">
        <v>1.0</v>
      </c>
      <c r="Q198" s="546"/>
      <c r="R198" s="545">
        <v>1.0</v>
      </c>
      <c r="S198" s="545"/>
      <c r="T198" s="545"/>
      <c r="U198" s="545" t="str">
        <f t="shared" si="1"/>
        <v/>
      </c>
      <c r="V198" s="546"/>
      <c r="W198" s="546"/>
      <c r="X198" s="546"/>
      <c r="Y198" s="546"/>
      <c r="Z198" s="546"/>
      <c r="AA198" s="546"/>
      <c r="AB198" s="546"/>
      <c r="AC198" s="546"/>
      <c r="AD198" s="546"/>
      <c r="AE198" s="546"/>
      <c r="AF198" s="546"/>
      <c r="AG198" s="546"/>
      <c r="AH198" s="546"/>
      <c r="AI198" s="546"/>
    </row>
    <row r="199">
      <c r="A199" s="664" t="s">
        <v>2402</v>
      </c>
      <c r="B199" s="665" t="s">
        <v>2475</v>
      </c>
      <c r="C199" s="561" t="s">
        <v>3935</v>
      </c>
      <c r="D199" s="666" t="s">
        <v>3933</v>
      </c>
      <c r="E199" s="667" t="s">
        <v>3728</v>
      </c>
      <c r="F199" s="708"/>
      <c r="G199" s="556">
        <v>677.0</v>
      </c>
      <c r="H199" s="556">
        <v>186.0</v>
      </c>
      <c r="I199" s="555"/>
      <c r="J199" s="555"/>
      <c r="K199" s="555"/>
      <c r="L199" s="555"/>
      <c r="M199" s="555"/>
      <c r="N199" s="555"/>
      <c r="O199" s="555"/>
      <c r="P199" s="555"/>
      <c r="Q199" s="555"/>
      <c r="R199" s="555"/>
      <c r="S199" s="556"/>
      <c r="T199" s="556"/>
      <c r="U199" s="556" t="str">
        <f t="shared" si="1"/>
        <v/>
      </c>
      <c r="V199" s="555"/>
      <c r="W199" s="555"/>
      <c r="X199" s="555"/>
      <c r="Y199" s="555"/>
      <c r="Z199" s="555"/>
      <c r="AA199" s="555"/>
      <c r="AB199" s="555"/>
      <c r="AC199" s="555"/>
      <c r="AD199" s="555"/>
      <c r="AE199" s="555"/>
      <c r="AF199" s="555"/>
      <c r="AG199" s="555"/>
      <c r="AH199" s="555"/>
      <c r="AI199" s="555"/>
    </row>
    <row r="200">
      <c r="B200" s="665" t="s">
        <v>2469</v>
      </c>
      <c r="C200" s="561" t="s">
        <v>3937</v>
      </c>
      <c r="D200" s="666" t="s">
        <v>3936</v>
      </c>
      <c r="E200" s="667" t="s">
        <v>3728</v>
      </c>
      <c r="F200" s="708"/>
      <c r="G200" s="556">
        <v>148.0</v>
      </c>
      <c r="H200" s="556">
        <v>74.0</v>
      </c>
      <c r="I200" s="555"/>
      <c r="J200" s="555"/>
      <c r="K200" s="555"/>
      <c r="L200" s="555"/>
      <c r="M200" s="555"/>
      <c r="N200" s="555"/>
      <c r="O200" s="555"/>
      <c r="P200" s="555"/>
      <c r="Q200" s="555"/>
      <c r="R200" s="555"/>
      <c r="S200" s="556"/>
      <c r="T200" s="556"/>
      <c r="U200" s="556" t="str">
        <f t="shared" si="1"/>
        <v/>
      </c>
      <c r="V200" s="555"/>
      <c r="W200" s="555"/>
      <c r="X200" s="555"/>
      <c r="Y200" s="555"/>
      <c r="Z200" s="555"/>
      <c r="AA200" s="555"/>
      <c r="AB200" s="555"/>
      <c r="AC200" s="555"/>
      <c r="AD200" s="555"/>
      <c r="AE200" s="555"/>
      <c r="AF200" s="555"/>
      <c r="AG200" s="555"/>
      <c r="AH200" s="555"/>
      <c r="AI200" s="555"/>
    </row>
    <row r="201">
      <c r="B201" s="665" t="s">
        <v>2463</v>
      </c>
      <c r="C201" s="561" t="s">
        <v>3938</v>
      </c>
      <c r="D201" s="666" t="s">
        <v>3782</v>
      </c>
      <c r="E201" s="668"/>
      <c r="F201" s="708" t="s">
        <v>4260</v>
      </c>
      <c r="G201" s="556">
        <v>472.0</v>
      </c>
      <c r="H201" s="556">
        <v>151.0</v>
      </c>
      <c r="I201" s="556">
        <v>1.0</v>
      </c>
      <c r="J201" s="556">
        <v>1.0</v>
      </c>
      <c r="K201" s="556">
        <v>1.0</v>
      </c>
      <c r="L201" s="556">
        <v>1.0</v>
      </c>
      <c r="M201" s="555"/>
      <c r="N201" s="555"/>
      <c r="O201" s="556">
        <v>1.0</v>
      </c>
      <c r="P201" s="555"/>
      <c r="Q201" s="555"/>
      <c r="R201" s="556">
        <v>1.0</v>
      </c>
      <c r="S201" s="556"/>
      <c r="T201" s="556"/>
      <c r="U201" s="556" t="str">
        <f t="shared" si="1"/>
        <v/>
      </c>
      <c r="V201" s="555"/>
      <c r="W201" s="555"/>
      <c r="X201" s="555"/>
      <c r="Y201" s="555"/>
      <c r="Z201" s="555"/>
      <c r="AA201" s="555"/>
      <c r="AB201" s="555"/>
      <c r="AC201" s="555"/>
      <c r="AD201" s="555"/>
      <c r="AE201" s="555"/>
      <c r="AF201" s="555"/>
      <c r="AG201" s="555"/>
      <c r="AH201" s="555"/>
      <c r="AI201" s="555"/>
    </row>
    <row r="202">
      <c r="B202" s="665" t="s">
        <v>2457</v>
      </c>
      <c r="C202" s="561" t="s">
        <v>3941</v>
      </c>
      <c r="D202" s="666" t="s">
        <v>3939</v>
      </c>
      <c r="E202" s="668"/>
      <c r="F202" s="708" t="s">
        <v>911</v>
      </c>
      <c r="G202" s="556">
        <v>145.0</v>
      </c>
      <c r="H202" s="556">
        <v>115.0</v>
      </c>
      <c r="I202" s="555"/>
      <c r="J202" s="555"/>
      <c r="K202" s="556">
        <v>1.0</v>
      </c>
      <c r="L202" s="555"/>
      <c r="M202" s="555"/>
      <c r="N202" s="555"/>
      <c r="O202" s="556">
        <v>1.0</v>
      </c>
      <c r="P202" s="555"/>
      <c r="Q202" s="555"/>
      <c r="R202" s="556">
        <v>1.0</v>
      </c>
      <c r="S202" s="556"/>
      <c r="T202" s="556"/>
      <c r="U202" s="556" t="str">
        <f t="shared" si="1"/>
        <v/>
      </c>
      <c r="V202" s="555"/>
      <c r="W202" s="555"/>
      <c r="X202" s="555"/>
      <c r="Y202" s="555"/>
      <c r="Z202" s="555"/>
      <c r="AA202" s="555"/>
      <c r="AB202" s="555"/>
      <c r="AC202" s="555"/>
      <c r="AD202" s="555"/>
      <c r="AE202" s="555"/>
      <c r="AF202" s="555"/>
      <c r="AG202" s="555"/>
      <c r="AH202" s="555"/>
      <c r="AI202" s="555"/>
    </row>
    <row r="203">
      <c r="B203" s="665" t="s">
        <v>2451</v>
      </c>
      <c r="C203" s="561" t="s">
        <v>3943</v>
      </c>
      <c r="D203" s="666" t="s">
        <v>3942</v>
      </c>
      <c r="E203" s="667" t="s">
        <v>3728</v>
      </c>
      <c r="F203" s="708"/>
      <c r="G203" s="556">
        <v>710.0</v>
      </c>
      <c r="H203" s="556">
        <v>53.0</v>
      </c>
      <c r="I203" s="555"/>
      <c r="J203" s="555"/>
      <c r="K203" s="555"/>
      <c r="L203" s="555"/>
      <c r="M203" s="555"/>
      <c r="N203" s="555"/>
      <c r="O203" s="555"/>
      <c r="P203" s="555"/>
      <c r="Q203" s="555"/>
      <c r="R203" s="555"/>
      <c r="S203" s="556"/>
      <c r="T203" s="556"/>
      <c r="U203" s="556" t="str">
        <f t="shared" si="1"/>
        <v/>
      </c>
      <c r="V203" s="555"/>
      <c r="W203" s="555"/>
      <c r="X203" s="555"/>
      <c r="Y203" s="555"/>
      <c r="Z203" s="555"/>
      <c r="AA203" s="555"/>
      <c r="AB203" s="555"/>
      <c r="AC203" s="555"/>
      <c r="AD203" s="555"/>
      <c r="AE203" s="555"/>
      <c r="AF203" s="555"/>
      <c r="AG203" s="555"/>
      <c r="AH203" s="555"/>
      <c r="AI203" s="555"/>
    </row>
    <row r="204">
      <c r="B204" s="665" t="s">
        <v>2442</v>
      </c>
      <c r="C204" s="561" t="s">
        <v>3945</v>
      </c>
      <c r="D204" s="666" t="s">
        <v>3944</v>
      </c>
      <c r="E204" s="667" t="s">
        <v>3728</v>
      </c>
      <c r="F204" s="708"/>
      <c r="G204" s="556">
        <v>439.0</v>
      </c>
      <c r="H204" s="556">
        <v>4.0</v>
      </c>
      <c r="I204" s="555"/>
      <c r="J204" s="555"/>
      <c r="K204" s="555"/>
      <c r="L204" s="555"/>
      <c r="M204" s="555"/>
      <c r="N204" s="555"/>
      <c r="O204" s="555"/>
      <c r="P204" s="555"/>
      <c r="Q204" s="555"/>
      <c r="R204" s="555"/>
      <c r="S204" s="556"/>
      <c r="T204" s="556"/>
      <c r="U204" s="556" t="str">
        <f t="shared" si="1"/>
        <v/>
      </c>
      <c r="V204" s="555"/>
      <c r="W204" s="555"/>
      <c r="X204" s="555"/>
      <c r="Y204" s="555"/>
      <c r="Z204" s="555"/>
      <c r="AA204" s="555"/>
      <c r="AB204" s="555"/>
      <c r="AC204" s="555"/>
      <c r="AD204" s="555"/>
      <c r="AE204" s="555"/>
      <c r="AF204" s="555"/>
      <c r="AG204" s="555"/>
      <c r="AH204" s="555"/>
      <c r="AI204" s="555"/>
    </row>
    <row r="205">
      <c r="B205" s="665" t="s">
        <v>2436</v>
      </c>
      <c r="C205" s="561" t="s">
        <v>3948</v>
      </c>
      <c r="D205" s="666" t="s">
        <v>3946</v>
      </c>
      <c r="E205" s="667" t="s">
        <v>1263</v>
      </c>
      <c r="F205" s="708"/>
      <c r="G205" s="556">
        <v>531.0</v>
      </c>
      <c r="H205" s="556">
        <v>47.0</v>
      </c>
      <c r="I205" s="556">
        <v>1.0</v>
      </c>
      <c r="J205" s="555"/>
      <c r="K205" s="556">
        <v>1.0</v>
      </c>
      <c r="L205" s="556">
        <v>1.0</v>
      </c>
      <c r="M205" s="555"/>
      <c r="N205" s="555"/>
      <c r="O205" s="555"/>
      <c r="P205" s="555"/>
      <c r="Q205" s="555"/>
      <c r="R205" s="555"/>
      <c r="S205" s="556"/>
      <c r="T205" s="556">
        <v>1.0</v>
      </c>
      <c r="U205" s="556" t="str">
        <f t="shared" si="1"/>
        <v/>
      </c>
      <c r="V205" s="555"/>
      <c r="W205" s="555"/>
      <c r="X205" s="555"/>
      <c r="Y205" s="555"/>
      <c r="Z205" s="555"/>
      <c r="AA205" s="555"/>
      <c r="AB205" s="555"/>
      <c r="AC205" s="555"/>
      <c r="AD205" s="555"/>
      <c r="AE205" s="555"/>
      <c r="AF205" s="555"/>
      <c r="AG205" s="555"/>
      <c r="AH205" s="555"/>
      <c r="AI205" s="555"/>
    </row>
    <row r="206">
      <c r="B206" s="665" t="s">
        <v>2430</v>
      </c>
      <c r="C206" s="561" t="s">
        <v>3951</v>
      </c>
      <c r="D206" s="666" t="s">
        <v>3949</v>
      </c>
      <c r="E206" s="667" t="s">
        <v>1263</v>
      </c>
      <c r="F206" s="708"/>
      <c r="G206" s="556">
        <v>374.0</v>
      </c>
      <c r="H206" s="556">
        <v>203.0</v>
      </c>
      <c r="I206" s="556">
        <v>1.0</v>
      </c>
      <c r="J206" s="555"/>
      <c r="K206" s="556">
        <v>1.0</v>
      </c>
      <c r="L206" s="555"/>
      <c r="M206" s="556">
        <v>1.0</v>
      </c>
      <c r="N206" s="555"/>
      <c r="O206" s="555"/>
      <c r="P206" s="555"/>
      <c r="Q206" s="555"/>
      <c r="R206" s="555"/>
      <c r="S206" s="556"/>
      <c r="T206" s="556"/>
      <c r="U206" s="556" t="str">
        <f t="shared" si="1"/>
        <v/>
      </c>
      <c r="V206" s="555"/>
      <c r="W206" s="555"/>
      <c r="X206" s="555"/>
      <c r="Y206" s="555"/>
      <c r="Z206" s="555"/>
      <c r="AA206" s="555"/>
      <c r="AB206" s="555"/>
      <c r="AC206" s="555"/>
      <c r="AD206" s="555"/>
      <c r="AE206" s="555"/>
      <c r="AF206" s="555"/>
      <c r="AG206" s="555"/>
      <c r="AH206" s="555"/>
      <c r="AI206" s="555"/>
    </row>
    <row r="207">
      <c r="B207" s="665" t="s">
        <v>2422</v>
      </c>
      <c r="C207" s="561" t="s">
        <v>3953</v>
      </c>
      <c r="D207" s="666" t="s">
        <v>3952</v>
      </c>
      <c r="E207" s="667" t="s">
        <v>3728</v>
      </c>
      <c r="F207" s="708"/>
      <c r="G207" s="556">
        <v>271.0</v>
      </c>
      <c r="H207" s="556">
        <v>309.0</v>
      </c>
      <c r="I207" s="555"/>
      <c r="J207" s="555"/>
      <c r="K207" s="555"/>
      <c r="L207" s="555"/>
      <c r="M207" s="555"/>
      <c r="N207" s="555"/>
      <c r="O207" s="555"/>
      <c r="P207" s="555"/>
      <c r="Q207" s="555"/>
      <c r="R207" s="555"/>
      <c r="S207" s="556"/>
      <c r="T207" s="556"/>
      <c r="U207" s="556" t="str">
        <f t="shared" si="1"/>
        <v/>
      </c>
      <c r="V207" s="555"/>
      <c r="W207" s="555"/>
      <c r="X207" s="555"/>
      <c r="Y207" s="555"/>
      <c r="Z207" s="555"/>
      <c r="AA207" s="555"/>
      <c r="AB207" s="555"/>
      <c r="AC207" s="555"/>
      <c r="AD207" s="555"/>
      <c r="AE207" s="555"/>
      <c r="AF207" s="555"/>
      <c r="AG207" s="555"/>
      <c r="AH207" s="555"/>
      <c r="AI207" s="555"/>
    </row>
    <row r="208">
      <c r="B208" s="665" t="s">
        <v>2415</v>
      </c>
      <c r="C208" s="561" t="s">
        <v>3955</v>
      </c>
      <c r="D208" s="666" t="s">
        <v>3954</v>
      </c>
      <c r="E208" s="667" t="s">
        <v>3728</v>
      </c>
      <c r="F208" s="708"/>
      <c r="G208" s="556">
        <v>318.0</v>
      </c>
      <c r="H208" s="556">
        <v>254.0</v>
      </c>
      <c r="I208" s="555"/>
      <c r="J208" s="555"/>
      <c r="K208" s="555"/>
      <c r="L208" s="555"/>
      <c r="M208" s="555"/>
      <c r="N208" s="555"/>
      <c r="O208" s="555"/>
      <c r="P208" s="555"/>
      <c r="Q208" s="555"/>
      <c r="R208" s="555"/>
      <c r="S208" s="556"/>
      <c r="T208" s="556"/>
      <c r="U208" s="556" t="str">
        <f t="shared" si="1"/>
        <v/>
      </c>
      <c r="V208" s="555"/>
      <c r="W208" s="555"/>
      <c r="X208" s="555"/>
      <c r="Y208" s="555"/>
      <c r="Z208" s="555"/>
      <c r="AA208" s="555"/>
      <c r="AB208" s="555"/>
      <c r="AC208" s="555"/>
      <c r="AD208" s="555"/>
      <c r="AE208" s="555"/>
      <c r="AF208" s="555"/>
      <c r="AG208" s="555"/>
      <c r="AH208" s="555"/>
      <c r="AI208" s="555"/>
    </row>
    <row r="209">
      <c r="B209" s="665" t="s">
        <v>2409</v>
      </c>
      <c r="C209" s="561" t="s">
        <v>3956</v>
      </c>
      <c r="D209" s="666" t="s">
        <v>91</v>
      </c>
      <c r="E209" s="668"/>
      <c r="F209" s="708" t="s">
        <v>4260</v>
      </c>
      <c r="G209" s="556">
        <v>17.0</v>
      </c>
      <c r="H209" s="556">
        <v>27.0</v>
      </c>
      <c r="I209" s="555"/>
      <c r="J209" s="555"/>
      <c r="K209" s="556">
        <v>1.0</v>
      </c>
      <c r="L209" s="555"/>
      <c r="M209" s="555"/>
      <c r="N209" s="555"/>
      <c r="O209" s="556">
        <v>1.0</v>
      </c>
      <c r="P209" s="555"/>
      <c r="Q209" s="555"/>
      <c r="R209" s="556">
        <v>1.0</v>
      </c>
      <c r="S209" s="556"/>
      <c r="T209" s="556"/>
      <c r="U209" s="556" t="str">
        <f t="shared" si="1"/>
        <v/>
      </c>
      <c r="V209" s="555"/>
      <c r="W209" s="555"/>
      <c r="X209" s="555"/>
      <c r="Y209" s="555"/>
      <c r="Z209" s="555"/>
      <c r="AA209" s="555"/>
      <c r="AB209" s="555"/>
      <c r="AC209" s="555"/>
      <c r="AD209" s="555"/>
      <c r="AE209" s="555"/>
      <c r="AF209" s="555"/>
      <c r="AG209" s="555"/>
      <c r="AH209" s="555"/>
      <c r="AI209" s="555"/>
    </row>
    <row r="210">
      <c r="B210" s="665" t="s">
        <v>2403</v>
      </c>
      <c r="C210" s="561" t="s">
        <v>3958</v>
      </c>
      <c r="D210" s="666" t="s">
        <v>3795</v>
      </c>
      <c r="E210" s="667" t="s">
        <v>1263</v>
      </c>
      <c r="F210" s="708"/>
      <c r="G210" s="556">
        <v>144.0</v>
      </c>
      <c r="H210" s="556">
        <v>123.0</v>
      </c>
      <c r="I210" s="555"/>
      <c r="J210" s="555"/>
      <c r="K210" s="556">
        <v>1.0</v>
      </c>
      <c r="L210" s="555"/>
      <c r="M210" s="556"/>
      <c r="N210" s="556">
        <v>1.0</v>
      </c>
      <c r="O210" s="555"/>
      <c r="P210" s="555"/>
      <c r="Q210" s="555"/>
      <c r="R210" s="556">
        <v>1.0</v>
      </c>
      <c r="S210" s="556">
        <v>1.0</v>
      </c>
      <c r="T210" s="556"/>
      <c r="U210" s="556" t="str">
        <f t="shared" si="1"/>
        <v/>
      </c>
      <c r="V210" s="555"/>
      <c r="W210" s="555"/>
      <c r="X210" s="555"/>
      <c r="Y210" s="555"/>
      <c r="Z210" s="555"/>
      <c r="AA210" s="555"/>
      <c r="AB210" s="555"/>
      <c r="AC210" s="555"/>
      <c r="AD210" s="555"/>
      <c r="AE210" s="555"/>
      <c r="AF210" s="555"/>
      <c r="AG210" s="555"/>
      <c r="AH210" s="555"/>
      <c r="AI210" s="555"/>
    </row>
    <row r="211">
      <c r="A211" s="669" t="s">
        <v>2345</v>
      </c>
      <c r="B211" s="670" t="s">
        <v>2396</v>
      </c>
      <c r="C211" s="568" t="s">
        <v>3959</v>
      </c>
      <c r="D211" s="671" t="s">
        <v>3762</v>
      </c>
      <c r="E211" s="672"/>
      <c r="F211" s="709"/>
      <c r="G211" s="438">
        <v>676.0</v>
      </c>
      <c r="H211" s="438">
        <v>52.0</v>
      </c>
      <c r="I211" s="438">
        <v>1.0</v>
      </c>
      <c r="J211" s="564"/>
      <c r="K211" s="564"/>
      <c r="L211" s="438">
        <v>1.0</v>
      </c>
      <c r="M211" s="438"/>
      <c r="N211" s="564"/>
      <c r="O211" s="438">
        <v>1.0</v>
      </c>
      <c r="P211" s="438">
        <v>1.0</v>
      </c>
      <c r="Q211" s="438">
        <v>1.0</v>
      </c>
      <c r="R211" s="438">
        <v>1.0</v>
      </c>
      <c r="S211" s="438"/>
      <c r="T211" s="438"/>
      <c r="U211" s="438" t="str">
        <f t="shared" si="1"/>
        <v/>
      </c>
      <c r="V211" s="564"/>
      <c r="W211" s="564"/>
      <c r="X211" s="564"/>
      <c r="Y211" s="564"/>
      <c r="Z211" s="564"/>
      <c r="AA211" s="564"/>
      <c r="AB211" s="564"/>
      <c r="AC211" s="564"/>
      <c r="AD211" s="564"/>
      <c r="AE211" s="564"/>
      <c r="AF211" s="564"/>
      <c r="AG211" s="564"/>
      <c r="AH211" s="564"/>
      <c r="AI211" s="564"/>
    </row>
    <row r="212">
      <c r="B212" s="670" t="s">
        <v>2390</v>
      </c>
      <c r="C212" s="568" t="s">
        <v>3961</v>
      </c>
      <c r="D212" s="671" t="s">
        <v>3881</v>
      </c>
      <c r="E212" s="673" t="s">
        <v>1263</v>
      </c>
      <c r="F212" s="710" t="s">
        <v>4535</v>
      </c>
      <c r="G212" s="438">
        <v>1183.0</v>
      </c>
      <c r="H212" s="438">
        <v>87.0</v>
      </c>
      <c r="I212" s="438">
        <v>1.0</v>
      </c>
      <c r="J212" s="438"/>
      <c r="K212" s="438">
        <v>1.0</v>
      </c>
      <c r="L212" s="438">
        <v>1.0</v>
      </c>
      <c r="M212" s="438">
        <v>1.0</v>
      </c>
      <c r="N212" s="564"/>
      <c r="O212" s="564"/>
      <c r="P212" s="564"/>
      <c r="Q212" s="564"/>
      <c r="R212" s="564"/>
      <c r="S212" s="438"/>
      <c r="T212" s="438"/>
      <c r="U212" s="438" t="str">
        <f t="shared" si="1"/>
        <v/>
      </c>
      <c r="V212" s="564"/>
      <c r="W212" s="564"/>
      <c r="X212" s="564"/>
      <c r="Y212" s="564"/>
      <c r="Z212" s="564"/>
      <c r="AA212" s="564"/>
      <c r="AB212" s="564"/>
      <c r="AC212" s="564"/>
      <c r="AD212" s="564"/>
      <c r="AE212" s="564"/>
      <c r="AF212" s="564"/>
      <c r="AG212" s="564"/>
      <c r="AH212" s="564"/>
      <c r="AI212" s="564"/>
    </row>
    <row r="213">
      <c r="B213" s="670" t="s">
        <v>2382</v>
      </c>
      <c r="C213" s="568" t="s">
        <v>3963</v>
      </c>
      <c r="D213" s="671" t="s">
        <v>3962</v>
      </c>
      <c r="E213" s="673" t="s">
        <v>3728</v>
      </c>
      <c r="F213" s="710"/>
      <c r="G213" s="438">
        <v>338.0</v>
      </c>
      <c r="H213" s="438">
        <v>2.0</v>
      </c>
      <c r="I213" s="564"/>
      <c r="J213" s="564"/>
      <c r="K213" s="564"/>
      <c r="L213" s="564"/>
      <c r="M213" s="564"/>
      <c r="N213" s="564"/>
      <c r="O213" s="564"/>
      <c r="P213" s="564"/>
      <c r="Q213" s="564"/>
      <c r="R213" s="564"/>
      <c r="S213" s="438"/>
      <c r="T213" s="438"/>
      <c r="U213" s="438" t="str">
        <f t="shared" si="1"/>
        <v/>
      </c>
      <c r="V213" s="564"/>
      <c r="W213" s="564"/>
      <c r="X213" s="564"/>
      <c r="Y213" s="564"/>
      <c r="Z213" s="564"/>
      <c r="AA213" s="564"/>
      <c r="AB213" s="564"/>
      <c r="AC213" s="564"/>
      <c r="AD213" s="564"/>
      <c r="AE213" s="564"/>
      <c r="AF213" s="564"/>
      <c r="AG213" s="564"/>
      <c r="AH213" s="564"/>
      <c r="AI213" s="564"/>
    </row>
    <row r="214">
      <c r="B214" s="670" t="s">
        <v>2376</v>
      </c>
      <c r="C214" s="568" t="s">
        <v>3965</v>
      </c>
      <c r="D214" s="671" t="s">
        <v>3964</v>
      </c>
      <c r="E214" s="673" t="s">
        <v>3728</v>
      </c>
      <c r="F214" s="710"/>
      <c r="G214" s="438">
        <v>317.0</v>
      </c>
      <c r="H214" s="438">
        <v>150.0</v>
      </c>
      <c r="I214" s="564"/>
      <c r="J214" s="564"/>
      <c r="K214" s="564"/>
      <c r="L214" s="564"/>
      <c r="M214" s="564"/>
      <c r="N214" s="564"/>
      <c r="O214" s="564"/>
      <c r="P214" s="564"/>
      <c r="Q214" s="564"/>
      <c r="R214" s="564"/>
      <c r="S214" s="438"/>
      <c r="T214" s="438"/>
      <c r="U214" s="438" t="str">
        <f t="shared" si="1"/>
        <v/>
      </c>
      <c r="V214" s="564"/>
      <c r="W214" s="564"/>
      <c r="X214" s="564"/>
      <c r="Y214" s="564"/>
      <c r="Z214" s="564"/>
      <c r="AA214" s="564"/>
      <c r="AB214" s="564"/>
      <c r="AC214" s="564"/>
      <c r="AD214" s="564"/>
      <c r="AE214" s="564"/>
      <c r="AF214" s="564"/>
      <c r="AG214" s="564"/>
      <c r="AH214" s="564"/>
      <c r="AI214" s="564"/>
    </row>
    <row r="215">
      <c r="B215" s="670" t="s">
        <v>2370</v>
      </c>
      <c r="C215" s="568" t="s">
        <v>3967</v>
      </c>
      <c r="D215" s="671" t="s">
        <v>3966</v>
      </c>
      <c r="E215" s="672"/>
      <c r="F215" s="710" t="s">
        <v>4260</v>
      </c>
      <c r="G215" s="438">
        <v>282098.0</v>
      </c>
      <c r="H215" s="438">
        <v>20771.0</v>
      </c>
      <c r="I215" s="564"/>
      <c r="J215" s="564"/>
      <c r="K215" s="564"/>
      <c r="L215" s="564"/>
      <c r="M215" s="564"/>
      <c r="N215" s="564"/>
      <c r="O215" s="564"/>
      <c r="P215" s="564"/>
      <c r="Q215" s="438">
        <v>1.0</v>
      </c>
      <c r="R215" s="438">
        <v>1.0</v>
      </c>
      <c r="S215" s="438"/>
      <c r="T215" s="438">
        <v>1.0</v>
      </c>
      <c r="U215" s="438" t="str">
        <f t="shared" si="1"/>
        <v/>
      </c>
      <c r="V215" s="438">
        <v>1.0</v>
      </c>
      <c r="W215" s="570"/>
      <c r="X215" s="564"/>
      <c r="Y215" s="564"/>
      <c r="Z215" s="564"/>
      <c r="AA215" s="564"/>
      <c r="AB215" s="564"/>
      <c r="AC215" s="564"/>
      <c r="AD215" s="564"/>
      <c r="AE215" s="564"/>
      <c r="AF215" s="564"/>
      <c r="AG215" s="564"/>
      <c r="AH215" s="564"/>
      <c r="AI215" s="564"/>
    </row>
    <row r="216">
      <c r="B216" s="670" t="s">
        <v>2363</v>
      </c>
      <c r="C216" s="568" t="s">
        <v>3969</v>
      </c>
      <c r="D216" s="671" t="s">
        <v>3968</v>
      </c>
      <c r="E216" s="673" t="s">
        <v>3728</v>
      </c>
      <c r="F216" s="710"/>
      <c r="G216" s="438">
        <v>333.0</v>
      </c>
      <c r="H216" s="438">
        <v>177.0</v>
      </c>
      <c r="I216" s="564"/>
      <c r="J216" s="564"/>
      <c r="K216" s="564"/>
      <c r="L216" s="564"/>
      <c r="M216" s="564"/>
      <c r="N216" s="564"/>
      <c r="O216" s="564"/>
      <c r="P216" s="564"/>
      <c r="Q216" s="564"/>
      <c r="R216" s="564"/>
      <c r="S216" s="438"/>
      <c r="T216" s="438"/>
      <c r="U216" s="438" t="str">
        <f t="shared" si="1"/>
        <v/>
      </c>
      <c r="V216" s="564"/>
      <c r="W216" s="564"/>
      <c r="X216" s="564"/>
      <c r="Y216" s="564"/>
      <c r="Z216" s="564"/>
      <c r="AA216" s="564"/>
      <c r="AB216" s="564"/>
      <c r="AC216" s="564"/>
      <c r="AD216" s="564"/>
      <c r="AE216" s="564"/>
      <c r="AF216" s="564"/>
      <c r="AG216" s="564"/>
      <c r="AH216" s="564"/>
      <c r="AI216" s="564"/>
    </row>
    <row r="217">
      <c r="B217" s="670" t="s">
        <v>2357</v>
      </c>
      <c r="C217" s="568" t="s">
        <v>3971</v>
      </c>
      <c r="D217" s="671" t="s">
        <v>3970</v>
      </c>
      <c r="E217" s="673" t="s">
        <v>3728</v>
      </c>
      <c r="F217" s="710"/>
      <c r="G217" s="438">
        <v>260.0</v>
      </c>
      <c r="H217" s="438">
        <v>68.0</v>
      </c>
      <c r="I217" s="564"/>
      <c r="J217" s="564"/>
      <c r="K217" s="564"/>
      <c r="L217" s="564"/>
      <c r="M217" s="564"/>
      <c r="N217" s="564"/>
      <c r="O217" s="564"/>
      <c r="P217" s="564"/>
      <c r="Q217" s="564"/>
      <c r="R217" s="564"/>
      <c r="S217" s="438"/>
      <c r="T217" s="438"/>
      <c r="U217" s="438" t="str">
        <f t="shared" si="1"/>
        <v/>
      </c>
      <c r="V217" s="564"/>
      <c r="W217" s="564"/>
      <c r="X217" s="564"/>
      <c r="Y217" s="564"/>
      <c r="Z217" s="564"/>
      <c r="AA217" s="564"/>
      <c r="AB217" s="564"/>
      <c r="AC217" s="564"/>
      <c r="AD217" s="564"/>
      <c r="AE217" s="564"/>
      <c r="AF217" s="564"/>
      <c r="AG217" s="564"/>
      <c r="AH217" s="564"/>
      <c r="AI217" s="564"/>
    </row>
    <row r="218">
      <c r="B218" s="670" t="s">
        <v>2340</v>
      </c>
      <c r="C218" s="568" t="s">
        <v>3972</v>
      </c>
      <c r="D218" s="671" t="s">
        <v>642</v>
      </c>
      <c r="E218" s="672"/>
      <c r="F218" s="710" t="s">
        <v>4260</v>
      </c>
      <c r="G218" s="438">
        <v>33.0</v>
      </c>
      <c r="H218" s="438">
        <v>36.0</v>
      </c>
      <c r="I218" s="564"/>
      <c r="J218" s="564"/>
      <c r="K218" s="564"/>
      <c r="L218" s="438">
        <v>1.0</v>
      </c>
      <c r="M218" s="438">
        <v>1.0</v>
      </c>
      <c r="N218" s="564"/>
      <c r="O218" s="438">
        <v>1.0</v>
      </c>
      <c r="P218" s="564"/>
      <c r="Q218" s="564"/>
      <c r="R218" s="438">
        <v>1.0</v>
      </c>
      <c r="S218" s="438">
        <v>1.0</v>
      </c>
      <c r="T218" s="438"/>
      <c r="U218" s="438" t="str">
        <f t="shared" si="1"/>
        <v/>
      </c>
      <c r="V218" s="564"/>
      <c r="W218" s="564"/>
      <c r="X218" s="564"/>
      <c r="Y218" s="564"/>
      <c r="Z218" s="564"/>
      <c r="AA218" s="564"/>
      <c r="AB218" s="564"/>
      <c r="AC218" s="564"/>
      <c r="AD218" s="564"/>
      <c r="AE218" s="564"/>
      <c r="AF218" s="564"/>
      <c r="AG218" s="564"/>
      <c r="AH218" s="564"/>
      <c r="AI218" s="564"/>
    </row>
    <row r="219">
      <c r="B219" s="670" t="s">
        <v>2335</v>
      </c>
      <c r="C219" s="568" t="s">
        <v>3974</v>
      </c>
      <c r="D219" s="671" t="s">
        <v>3973</v>
      </c>
      <c r="E219" s="672"/>
      <c r="F219" s="710" t="s">
        <v>4260</v>
      </c>
      <c r="G219" s="438">
        <v>174.0</v>
      </c>
      <c r="H219" s="438">
        <v>133.0</v>
      </c>
      <c r="I219" s="438">
        <v>1.0</v>
      </c>
      <c r="J219" s="438"/>
      <c r="K219" s="438">
        <v>1.0</v>
      </c>
      <c r="L219" s="564"/>
      <c r="M219" s="438">
        <v>1.0</v>
      </c>
      <c r="N219" s="564"/>
      <c r="O219" s="438">
        <v>1.0</v>
      </c>
      <c r="P219" s="564"/>
      <c r="Q219" s="564"/>
      <c r="R219" s="564"/>
      <c r="S219" s="438"/>
      <c r="T219" s="438"/>
      <c r="U219" s="438" t="str">
        <f t="shared" si="1"/>
        <v/>
      </c>
      <c r="V219" s="564"/>
      <c r="W219" s="564"/>
      <c r="X219" s="564"/>
      <c r="Y219" s="564"/>
      <c r="Z219" s="564"/>
      <c r="AA219" s="564"/>
      <c r="AB219" s="564"/>
      <c r="AC219" s="564"/>
      <c r="AD219" s="564"/>
      <c r="AE219" s="564"/>
      <c r="AF219" s="564"/>
      <c r="AG219" s="564"/>
      <c r="AH219" s="564"/>
      <c r="AI219" s="564"/>
    </row>
    <row r="220">
      <c r="A220" s="674" t="s">
        <v>2590</v>
      </c>
      <c r="B220" s="675" t="s">
        <v>2728</v>
      </c>
      <c r="C220" s="578" t="s">
        <v>3976</v>
      </c>
      <c r="D220" s="676" t="s">
        <v>3975</v>
      </c>
      <c r="E220" s="677"/>
      <c r="F220" s="711" t="s">
        <v>4260</v>
      </c>
      <c r="G220" s="574">
        <v>120.0</v>
      </c>
      <c r="H220" s="574">
        <v>117.0</v>
      </c>
      <c r="I220" s="574">
        <v>1.0</v>
      </c>
      <c r="J220" s="573"/>
      <c r="K220" s="573"/>
      <c r="L220" s="574">
        <v>1.0</v>
      </c>
      <c r="M220" s="574">
        <v>1.0</v>
      </c>
      <c r="N220" s="573"/>
      <c r="O220" s="573"/>
      <c r="P220" s="573"/>
      <c r="Q220" s="573"/>
      <c r="R220" s="574">
        <v>1.0</v>
      </c>
      <c r="S220" s="574">
        <v>1.0</v>
      </c>
      <c r="T220" s="574"/>
      <c r="U220" s="574" t="str">
        <f t="shared" si="1"/>
        <v/>
      </c>
      <c r="V220" s="573"/>
      <c r="W220" s="573"/>
      <c r="X220" s="573"/>
      <c r="Y220" s="573"/>
      <c r="Z220" s="573"/>
      <c r="AA220" s="573"/>
      <c r="AB220" s="573"/>
      <c r="AC220" s="573"/>
      <c r="AD220" s="573"/>
      <c r="AE220" s="573"/>
      <c r="AF220" s="573"/>
      <c r="AG220" s="573"/>
      <c r="AH220" s="573"/>
      <c r="AI220" s="573"/>
    </row>
    <row r="221">
      <c r="B221" s="675" t="s">
        <v>2722</v>
      </c>
      <c r="C221" s="578" t="s">
        <v>3978</v>
      </c>
      <c r="D221" s="676" t="s">
        <v>3977</v>
      </c>
      <c r="E221" s="678" t="s">
        <v>3728</v>
      </c>
      <c r="F221" s="711"/>
      <c r="G221" s="574">
        <v>259.0</v>
      </c>
      <c r="H221" s="574">
        <v>178.0</v>
      </c>
      <c r="I221" s="573"/>
      <c r="J221" s="573"/>
      <c r="K221" s="573"/>
      <c r="L221" s="573"/>
      <c r="M221" s="573"/>
      <c r="N221" s="573"/>
      <c r="O221" s="573"/>
      <c r="P221" s="573"/>
      <c r="Q221" s="573"/>
      <c r="R221" s="573"/>
      <c r="S221" s="574"/>
      <c r="T221" s="574"/>
      <c r="U221" s="574" t="str">
        <f t="shared" si="1"/>
        <v/>
      </c>
      <c r="V221" s="573"/>
      <c r="W221" s="573"/>
      <c r="X221" s="573"/>
      <c r="Y221" s="573"/>
      <c r="Z221" s="573"/>
      <c r="AA221" s="573"/>
      <c r="AB221" s="573"/>
      <c r="AC221" s="573"/>
      <c r="AD221" s="573"/>
      <c r="AE221" s="573"/>
      <c r="AF221" s="573"/>
      <c r="AG221" s="573"/>
      <c r="AH221" s="573"/>
      <c r="AI221" s="573"/>
    </row>
    <row r="222">
      <c r="B222" s="675" t="s">
        <v>2716</v>
      </c>
      <c r="C222" s="578" t="s">
        <v>3980</v>
      </c>
      <c r="D222" s="676" t="s">
        <v>3979</v>
      </c>
      <c r="E222" s="678" t="s">
        <v>3728</v>
      </c>
      <c r="F222" s="711"/>
      <c r="G222" s="574">
        <v>1.0</v>
      </c>
      <c r="H222" s="574">
        <v>247.0</v>
      </c>
      <c r="I222" s="573"/>
      <c r="J222" s="573"/>
      <c r="K222" s="573"/>
      <c r="L222" s="573"/>
      <c r="M222" s="573"/>
      <c r="N222" s="573"/>
      <c r="O222" s="573"/>
      <c r="P222" s="573"/>
      <c r="Q222" s="573"/>
      <c r="R222" s="573"/>
      <c r="S222" s="574"/>
      <c r="T222" s="574"/>
      <c r="U222" s="574" t="str">
        <f t="shared" si="1"/>
        <v/>
      </c>
      <c r="V222" s="574">
        <v>1.0</v>
      </c>
      <c r="W222" s="579"/>
      <c r="X222" s="573"/>
      <c r="Y222" s="573"/>
      <c r="Z222" s="573"/>
      <c r="AA222" s="573"/>
      <c r="AB222" s="573"/>
      <c r="AC222" s="573"/>
      <c r="AD222" s="573"/>
      <c r="AE222" s="573"/>
      <c r="AF222" s="573"/>
      <c r="AG222" s="573"/>
      <c r="AH222" s="573"/>
      <c r="AI222" s="573"/>
    </row>
    <row r="223">
      <c r="B223" s="675" t="s">
        <v>2710</v>
      </c>
      <c r="C223" s="578" t="s">
        <v>3983</v>
      </c>
      <c r="D223" s="676" t="s">
        <v>3981</v>
      </c>
      <c r="E223" s="678" t="s">
        <v>1263</v>
      </c>
      <c r="F223" s="711"/>
      <c r="G223" s="574">
        <v>335.0</v>
      </c>
      <c r="H223" s="574">
        <v>42.0</v>
      </c>
      <c r="I223" s="574">
        <v>1.0</v>
      </c>
      <c r="J223" s="573"/>
      <c r="K223" s="574">
        <v>1.0</v>
      </c>
      <c r="L223" s="573"/>
      <c r="M223" s="573"/>
      <c r="N223" s="573"/>
      <c r="O223" s="573"/>
      <c r="P223" s="573"/>
      <c r="Q223" s="573"/>
      <c r="R223" s="573"/>
      <c r="S223" s="574"/>
      <c r="T223" s="574"/>
      <c r="U223" s="574" t="str">
        <f t="shared" si="1"/>
        <v/>
      </c>
      <c r="V223" s="573"/>
      <c r="W223" s="573"/>
      <c r="X223" s="573"/>
      <c r="Y223" s="573"/>
      <c r="Z223" s="573"/>
      <c r="AA223" s="573"/>
      <c r="AB223" s="573"/>
      <c r="AC223" s="573"/>
      <c r="AD223" s="573"/>
      <c r="AE223" s="573"/>
      <c r="AF223" s="573"/>
      <c r="AG223" s="573"/>
      <c r="AH223" s="573"/>
      <c r="AI223" s="573"/>
    </row>
    <row r="224">
      <c r="B224" s="675" t="s">
        <v>2704</v>
      </c>
      <c r="C224" s="578" t="s">
        <v>3986</v>
      </c>
      <c r="D224" s="676" t="s">
        <v>3984</v>
      </c>
      <c r="E224" s="678" t="s">
        <v>1263</v>
      </c>
      <c r="F224" s="711"/>
      <c r="G224" s="574">
        <v>491.0</v>
      </c>
      <c r="H224" s="574">
        <v>28.0</v>
      </c>
      <c r="I224" s="574">
        <v>1.0</v>
      </c>
      <c r="J224" s="573"/>
      <c r="K224" s="574">
        <v>1.0</v>
      </c>
      <c r="L224" s="574">
        <v>1.0</v>
      </c>
      <c r="M224" s="573"/>
      <c r="N224" s="573"/>
      <c r="O224" s="573"/>
      <c r="P224" s="574">
        <v>1.0</v>
      </c>
      <c r="Q224" s="573"/>
      <c r="R224" s="574">
        <v>1.0</v>
      </c>
      <c r="S224" s="574"/>
      <c r="T224" s="574"/>
      <c r="U224" s="574" t="str">
        <f t="shared" si="1"/>
        <v/>
      </c>
      <c r="V224" s="573"/>
      <c r="W224" s="573"/>
      <c r="X224" s="573"/>
      <c r="Y224" s="573"/>
      <c r="Z224" s="573"/>
      <c r="AA224" s="573"/>
      <c r="AB224" s="573"/>
      <c r="AC224" s="573"/>
      <c r="AD224" s="573"/>
      <c r="AE224" s="573"/>
      <c r="AF224" s="573"/>
      <c r="AG224" s="573"/>
      <c r="AH224" s="573"/>
      <c r="AI224" s="573"/>
    </row>
    <row r="225">
      <c r="B225" s="675" t="s">
        <v>2698</v>
      </c>
      <c r="C225" s="578" t="s">
        <v>3988</v>
      </c>
      <c r="D225" s="676" t="s">
        <v>3987</v>
      </c>
      <c r="E225" s="678" t="s">
        <v>3728</v>
      </c>
      <c r="F225" s="711"/>
      <c r="G225" s="574">
        <v>838.0</v>
      </c>
      <c r="H225" s="574">
        <v>149.0</v>
      </c>
      <c r="I225" s="573"/>
      <c r="J225" s="573"/>
      <c r="K225" s="573"/>
      <c r="L225" s="573"/>
      <c r="M225" s="573"/>
      <c r="N225" s="573"/>
      <c r="O225" s="573"/>
      <c r="P225" s="573"/>
      <c r="Q225" s="573"/>
      <c r="R225" s="573"/>
      <c r="S225" s="574"/>
      <c r="T225" s="574"/>
      <c r="U225" s="574" t="str">
        <f t="shared" si="1"/>
        <v/>
      </c>
      <c r="V225" s="573"/>
      <c r="W225" s="573"/>
      <c r="X225" s="573"/>
      <c r="Y225" s="573"/>
      <c r="Z225" s="573"/>
      <c r="AA225" s="573"/>
      <c r="AB225" s="573"/>
      <c r="AC225" s="573"/>
      <c r="AD225" s="573"/>
      <c r="AE225" s="573"/>
      <c r="AF225" s="573"/>
      <c r="AG225" s="573"/>
      <c r="AH225" s="573"/>
      <c r="AI225" s="573"/>
    </row>
    <row r="226">
      <c r="B226" s="675" t="s">
        <v>2692</v>
      </c>
      <c r="C226" s="578" t="s">
        <v>3990</v>
      </c>
      <c r="D226" s="676" t="s">
        <v>3989</v>
      </c>
      <c r="E226" s="678" t="s">
        <v>1263</v>
      </c>
      <c r="F226" s="711"/>
      <c r="G226" s="574">
        <v>423.0</v>
      </c>
      <c r="H226" s="574">
        <v>138.0</v>
      </c>
      <c r="I226" s="574">
        <v>1.0</v>
      </c>
      <c r="J226" s="573"/>
      <c r="K226" s="574">
        <v>1.0</v>
      </c>
      <c r="L226" s="573"/>
      <c r="M226" s="573"/>
      <c r="N226" s="573"/>
      <c r="O226" s="573"/>
      <c r="P226" s="573"/>
      <c r="Q226" s="573"/>
      <c r="R226" s="573"/>
      <c r="S226" s="574"/>
      <c r="T226" s="574"/>
      <c r="U226" s="574" t="str">
        <f t="shared" si="1"/>
        <v/>
      </c>
      <c r="V226" s="573"/>
      <c r="W226" s="573"/>
      <c r="X226" s="573"/>
      <c r="Y226" s="573"/>
      <c r="Z226" s="573"/>
      <c r="AA226" s="573"/>
      <c r="AB226" s="573"/>
      <c r="AC226" s="573"/>
      <c r="AD226" s="573"/>
      <c r="AE226" s="573"/>
      <c r="AF226" s="573"/>
      <c r="AG226" s="573"/>
      <c r="AH226" s="573"/>
      <c r="AI226" s="573"/>
    </row>
    <row r="227">
      <c r="B227" s="675" t="s">
        <v>2686</v>
      </c>
      <c r="C227" s="578" t="s">
        <v>3992</v>
      </c>
      <c r="D227" s="676" t="s">
        <v>3991</v>
      </c>
      <c r="E227" s="678" t="s">
        <v>3728</v>
      </c>
      <c r="F227" s="711"/>
      <c r="G227" s="574">
        <v>418.0</v>
      </c>
      <c r="H227" s="574">
        <v>134.0</v>
      </c>
      <c r="I227" s="573"/>
      <c r="J227" s="573"/>
      <c r="K227" s="573"/>
      <c r="L227" s="573"/>
      <c r="M227" s="573"/>
      <c r="N227" s="573"/>
      <c r="O227" s="573"/>
      <c r="P227" s="573"/>
      <c r="Q227" s="573"/>
      <c r="R227" s="573"/>
      <c r="S227" s="574"/>
      <c r="T227" s="574"/>
      <c r="U227" s="574" t="str">
        <f t="shared" si="1"/>
        <v/>
      </c>
      <c r="V227" s="573"/>
      <c r="W227" s="573"/>
      <c r="X227" s="573"/>
      <c r="Y227" s="573"/>
      <c r="Z227" s="573"/>
      <c r="AA227" s="573"/>
      <c r="AB227" s="573"/>
      <c r="AC227" s="573"/>
      <c r="AD227" s="573"/>
      <c r="AE227" s="573"/>
      <c r="AF227" s="573"/>
      <c r="AG227" s="573"/>
      <c r="AH227" s="573"/>
      <c r="AI227" s="573"/>
    </row>
    <row r="228">
      <c r="B228" s="675" t="s">
        <v>2680</v>
      </c>
      <c r="C228" s="578" t="s">
        <v>3994</v>
      </c>
      <c r="D228" s="676" t="s">
        <v>3993</v>
      </c>
      <c r="E228" s="677"/>
      <c r="F228" s="711" t="s">
        <v>4260</v>
      </c>
      <c r="G228" s="574">
        <v>571.0</v>
      </c>
      <c r="H228" s="574">
        <v>312.0</v>
      </c>
      <c r="I228" s="573"/>
      <c r="J228" s="573"/>
      <c r="K228" s="574">
        <v>1.0</v>
      </c>
      <c r="L228" s="573"/>
      <c r="M228" s="573"/>
      <c r="N228" s="573"/>
      <c r="O228" s="574">
        <v>1.0</v>
      </c>
      <c r="P228" s="573"/>
      <c r="Q228" s="573"/>
      <c r="R228" s="573"/>
      <c r="S228" s="574"/>
      <c r="T228" s="574"/>
      <c r="U228" s="574" t="str">
        <f t="shared" si="1"/>
        <v/>
      </c>
      <c r="V228" s="573"/>
      <c r="W228" s="573"/>
      <c r="X228" s="573"/>
      <c r="Y228" s="573"/>
      <c r="Z228" s="573"/>
      <c r="AA228" s="573"/>
      <c r="AB228" s="573"/>
      <c r="AC228" s="573"/>
      <c r="AD228" s="573"/>
      <c r="AE228" s="573"/>
      <c r="AF228" s="573"/>
      <c r="AG228" s="573"/>
      <c r="AH228" s="573"/>
      <c r="AI228" s="573"/>
    </row>
    <row r="229">
      <c r="B229" s="675" t="s">
        <v>2675</v>
      </c>
      <c r="C229" s="578" t="s">
        <v>3996</v>
      </c>
      <c r="D229" s="676" t="s">
        <v>3995</v>
      </c>
      <c r="E229" s="677"/>
      <c r="F229" s="711" t="s">
        <v>4536</v>
      </c>
      <c r="G229" s="574">
        <v>183.0</v>
      </c>
      <c r="H229" s="574">
        <v>169.0</v>
      </c>
      <c r="I229" s="573"/>
      <c r="J229" s="573"/>
      <c r="K229" s="574">
        <v>1.0</v>
      </c>
      <c r="L229" s="573"/>
      <c r="M229" s="573"/>
      <c r="N229" s="573"/>
      <c r="O229" s="574">
        <v>1.0</v>
      </c>
      <c r="P229" s="573"/>
      <c r="Q229" s="573"/>
      <c r="R229" s="574">
        <v>1.0</v>
      </c>
      <c r="S229" s="574"/>
      <c r="T229" s="574">
        <v>1.0</v>
      </c>
      <c r="U229" s="574" t="str">
        <f t="shared" si="1"/>
        <v/>
      </c>
      <c r="V229" s="573"/>
      <c r="W229" s="573"/>
      <c r="X229" s="573"/>
      <c r="Y229" s="573"/>
      <c r="Z229" s="573"/>
      <c r="AA229" s="573"/>
      <c r="AB229" s="573"/>
      <c r="AC229" s="573"/>
      <c r="AD229" s="573"/>
      <c r="AE229" s="573"/>
      <c r="AF229" s="573"/>
      <c r="AG229" s="573"/>
      <c r="AH229" s="573"/>
      <c r="AI229" s="573"/>
    </row>
    <row r="230">
      <c r="B230" s="675" t="s">
        <v>2669</v>
      </c>
      <c r="C230" s="578" t="s">
        <v>3998</v>
      </c>
      <c r="D230" s="676" t="s">
        <v>3997</v>
      </c>
      <c r="E230" s="677"/>
      <c r="F230" s="711" t="s">
        <v>4537</v>
      </c>
      <c r="G230" s="574">
        <v>106.0</v>
      </c>
      <c r="H230" s="574">
        <v>118.0</v>
      </c>
      <c r="I230" s="574">
        <v>1.0</v>
      </c>
      <c r="J230" s="573"/>
      <c r="K230" s="574">
        <v>1.0</v>
      </c>
      <c r="L230" s="573"/>
      <c r="M230" s="573"/>
      <c r="N230" s="573"/>
      <c r="O230" s="574">
        <v>1.0</v>
      </c>
      <c r="P230" s="573"/>
      <c r="Q230" s="573"/>
      <c r="R230" s="574">
        <v>1.0</v>
      </c>
      <c r="S230" s="574"/>
      <c r="T230" s="574"/>
      <c r="U230" s="574" t="str">
        <f t="shared" si="1"/>
        <v/>
      </c>
      <c r="V230" s="573"/>
      <c r="W230" s="573"/>
      <c r="X230" s="573"/>
      <c r="Y230" s="573"/>
      <c r="Z230" s="573"/>
      <c r="AA230" s="573"/>
      <c r="AB230" s="573"/>
      <c r="AC230" s="573"/>
      <c r="AD230" s="573"/>
      <c r="AE230" s="573"/>
      <c r="AF230" s="573"/>
      <c r="AG230" s="573"/>
      <c r="AH230" s="573"/>
      <c r="AI230" s="573"/>
    </row>
    <row r="231">
      <c r="B231" s="675" t="s">
        <v>2663</v>
      </c>
      <c r="C231" s="578" t="s">
        <v>4000</v>
      </c>
      <c r="D231" s="676" t="s">
        <v>3999</v>
      </c>
      <c r="E231" s="677"/>
      <c r="F231" s="711" t="s">
        <v>4260</v>
      </c>
      <c r="G231" s="574">
        <v>79.0</v>
      </c>
      <c r="H231" s="574">
        <v>71.0</v>
      </c>
      <c r="I231" s="574">
        <v>1.0</v>
      </c>
      <c r="J231" s="573"/>
      <c r="K231" s="573"/>
      <c r="L231" s="574">
        <v>1.0</v>
      </c>
      <c r="M231" s="574">
        <v>1.0</v>
      </c>
      <c r="N231" s="573"/>
      <c r="O231" s="574">
        <v>1.0</v>
      </c>
      <c r="P231" s="573"/>
      <c r="Q231" s="573"/>
      <c r="R231" s="574">
        <v>1.0</v>
      </c>
      <c r="S231" s="574"/>
      <c r="T231" s="574"/>
      <c r="U231" s="574" t="str">
        <f t="shared" si="1"/>
        <v/>
      </c>
      <c r="V231" s="573"/>
      <c r="W231" s="573"/>
      <c r="X231" s="573"/>
      <c r="Y231" s="573"/>
      <c r="Z231" s="573"/>
      <c r="AA231" s="573"/>
      <c r="AB231" s="573"/>
      <c r="AC231" s="573"/>
      <c r="AD231" s="573"/>
      <c r="AE231" s="573"/>
      <c r="AF231" s="573"/>
      <c r="AG231" s="573"/>
      <c r="AH231" s="573"/>
      <c r="AI231" s="573"/>
    </row>
    <row r="232">
      <c r="B232" s="675" t="s">
        <v>2657</v>
      </c>
      <c r="C232" s="578" t="s">
        <v>4002</v>
      </c>
      <c r="D232" s="676" t="s">
        <v>4001</v>
      </c>
      <c r="E232" s="677"/>
      <c r="F232" s="711" t="s">
        <v>4260</v>
      </c>
      <c r="G232" s="574">
        <v>104.0</v>
      </c>
      <c r="H232" s="574">
        <v>212.0</v>
      </c>
      <c r="I232" s="573"/>
      <c r="J232" s="573"/>
      <c r="K232" s="574">
        <v>1.0</v>
      </c>
      <c r="L232" s="573"/>
      <c r="M232" s="573"/>
      <c r="N232" s="573"/>
      <c r="O232" s="573"/>
      <c r="P232" s="573"/>
      <c r="Q232" s="573"/>
      <c r="R232" s="574">
        <v>1.0</v>
      </c>
      <c r="S232" s="574"/>
      <c r="T232" s="574"/>
      <c r="U232" s="574" t="str">
        <f t="shared" si="1"/>
        <v/>
      </c>
      <c r="V232" s="573"/>
      <c r="W232" s="573"/>
      <c r="X232" s="573"/>
      <c r="Y232" s="573"/>
      <c r="Z232" s="573"/>
      <c r="AA232" s="573"/>
      <c r="AB232" s="573"/>
      <c r="AC232" s="573"/>
      <c r="AD232" s="573"/>
      <c r="AE232" s="573"/>
      <c r="AF232" s="573"/>
      <c r="AG232" s="573"/>
      <c r="AH232" s="573"/>
      <c r="AI232" s="573"/>
    </row>
    <row r="233">
      <c r="B233" s="675" t="s">
        <v>2651</v>
      </c>
      <c r="C233" s="578" t="s">
        <v>4004</v>
      </c>
      <c r="D233" s="676" t="s">
        <v>4003</v>
      </c>
      <c r="E233" s="677"/>
      <c r="F233" s="711" t="s">
        <v>4260</v>
      </c>
      <c r="G233" s="574">
        <v>350.0</v>
      </c>
      <c r="H233" s="574">
        <v>313.0</v>
      </c>
      <c r="I233" s="574">
        <v>1.0</v>
      </c>
      <c r="J233" s="573"/>
      <c r="K233" s="574">
        <v>1.0</v>
      </c>
      <c r="L233" s="574">
        <v>1.0</v>
      </c>
      <c r="M233" s="574">
        <v>1.0</v>
      </c>
      <c r="N233" s="573"/>
      <c r="O233" s="573"/>
      <c r="P233" s="574">
        <v>1.0</v>
      </c>
      <c r="Q233" s="573"/>
      <c r="R233" s="574">
        <v>1.0</v>
      </c>
      <c r="S233" s="574"/>
      <c r="T233" s="574"/>
      <c r="U233" s="574" t="str">
        <f t="shared" si="1"/>
        <v/>
      </c>
      <c r="V233" s="573"/>
      <c r="W233" s="573"/>
      <c r="X233" s="573"/>
      <c r="Y233" s="573"/>
      <c r="Z233" s="573"/>
      <c r="AA233" s="573"/>
      <c r="AB233" s="573"/>
      <c r="AC233" s="573"/>
      <c r="AD233" s="573"/>
      <c r="AE233" s="573"/>
      <c r="AF233" s="573"/>
      <c r="AG233" s="573"/>
      <c r="AH233" s="573"/>
      <c r="AI233" s="573"/>
    </row>
    <row r="234">
      <c r="B234" s="675" t="s">
        <v>2643</v>
      </c>
      <c r="C234" s="578" t="s">
        <v>4006</v>
      </c>
      <c r="D234" s="676" t="s">
        <v>4005</v>
      </c>
      <c r="E234" s="678" t="s">
        <v>3728</v>
      </c>
      <c r="F234" s="711"/>
      <c r="G234" s="574">
        <v>133.0</v>
      </c>
      <c r="H234" s="574">
        <v>37.0</v>
      </c>
      <c r="I234" s="573"/>
      <c r="J234" s="573"/>
      <c r="K234" s="573"/>
      <c r="L234" s="573"/>
      <c r="M234" s="573"/>
      <c r="N234" s="573"/>
      <c r="O234" s="573"/>
      <c r="P234" s="573"/>
      <c r="Q234" s="573"/>
      <c r="R234" s="573"/>
      <c r="S234" s="574"/>
      <c r="T234" s="574"/>
      <c r="U234" s="574" t="str">
        <f t="shared" si="1"/>
        <v/>
      </c>
      <c r="V234" s="573"/>
      <c r="W234" s="573"/>
      <c r="X234" s="573"/>
      <c r="Y234" s="573"/>
      <c r="Z234" s="573"/>
      <c r="AA234" s="573"/>
      <c r="AB234" s="573"/>
      <c r="AC234" s="573"/>
      <c r="AD234" s="573"/>
      <c r="AE234" s="573"/>
      <c r="AF234" s="573"/>
      <c r="AG234" s="573"/>
      <c r="AH234" s="573"/>
      <c r="AI234" s="573"/>
    </row>
    <row r="235">
      <c r="B235" s="675" t="s">
        <v>2637</v>
      </c>
      <c r="C235" s="578" t="s">
        <v>4008</v>
      </c>
      <c r="D235" s="676" t="s">
        <v>4007</v>
      </c>
      <c r="E235" s="678" t="s">
        <v>3728</v>
      </c>
      <c r="F235" s="711"/>
      <c r="G235" s="574">
        <v>238.0</v>
      </c>
      <c r="H235" s="574">
        <v>109.0</v>
      </c>
      <c r="I235" s="573"/>
      <c r="J235" s="573"/>
      <c r="K235" s="573"/>
      <c r="L235" s="573"/>
      <c r="M235" s="573"/>
      <c r="N235" s="573"/>
      <c r="O235" s="573"/>
      <c r="P235" s="573"/>
      <c r="Q235" s="573"/>
      <c r="R235" s="573"/>
      <c r="S235" s="574"/>
      <c r="T235" s="574"/>
      <c r="U235" s="574" t="str">
        <f t="shared" si="1"/>
        <v/>
      </c>
      <c r="V235" s="573"/>
      <c r="W235" s="573"/>
      <c r="X235" s="573"/>
      <c r="Y235" s="573"/>
      <c r="Z235" s="573"/>
      <c r="AA235" s="573"/>
      <c r="AB235" s="573"/>
      <c r="AC235" s="573"/>
      <c r="AD235" s="573"/>
      <c r="AE235" s="573"/>
      <c r="AF235" s="573"/>
      <c r="AG235" s="573"/>
      <c r="AH235" s="573"/>
      <c r="AI235" s="573"/>
    </row>
    <row r="236">
      <c r="B236" s="675" t="s">
        <v>2631</v>
      </c>
      <c r="C236" s="578" t="s">
        <v>4010</v>
      </c>
      <c r="D236" s="676" t="s">
        <v>4009</v>
      </c>
      <c r="E236" s="677"/>
      <c r="F236" s="711" t="s">
        <v>4260</v>
      </c>
      <c r="G236" s="574">
        <v>329.0</v>
      </c>
      <c r="H236" s="574">
        <v>124.0</v>
      </c>
      <c r="I236" s="573"/>
      <c r="J236" s="573"/>
      <c r="K236" s="574">
        <v>1.0</v>
      </c>
      <c r="L236" s="574">
        <v>1.0</v>
      </c>
      <c r="M236" s="573"/>
      <c r="N236" s="573"/>
      <c r="O236" s="574">
        <v>1.0</v>
      </c>
      <c r="P236" s="573"/>
      <c r="Q236" s="573"/>
      <c r="R236" s="574">
        <v>1.0</v>
      </c>
      <c r="S236" s="574"/>
      <c r="T236" s="574"/>
      <c r="U236" s="574" t="str">
        <f t="shared" si="1"/>
        <v/>
      </c>
      <c r="V236" s="573"/>
      <c r="W236" s="573"/>
      <c r="X236" s="573"/>
      <c r="Y236" s="573"/>
      <c r="Z236" s="573"/>
      <c r="AA236" s="573"/>
      <c r="AB236" s="573"/>
      <c r="AC236" s="573"/>
      <c r="AD236" s="573"/>
      <c r="AE236" s="573"/>
      <c r="AF236" s="573"/>
      <c r="AG236" s="573"/>
      <c r="AH236" s="573"/>
      <c r="AI236" s="573"/>
    </row>
    <row r="237">
      <c r="B237" s="675" t="s">
        <v>2625</v>
      </c>
      <c r="C237" s="578" t="s">
        <v>4012</v>
      </c>
      <c r="D237" s="676" t="s">
        <v>4011</v>
      </c>
      <c r="E237" s="677"/>
      <c r="F237" s="711" t="s">
        <v>4508</v>
      </c>
      <c r="G237" s="574">
        <v>393.0</v>
      </c>
      <c r="H237" s="574">
        <v>239.0</v>
      </c>
      <c r="I237" s="573"/>
      <c r="J237" s="573"/>
      <c r="K237" s="573"/>
      <c r="L237" s="573"/>
      <c r="M237" s="573"/>
      <c r="N237" s="573"/>
      <c r="O237" s="573"/>
      <c r="P237" s="573"/>
      <c r="Q237" s="573"/>
      <c r="R237" s="573"/>
      <c r="S237" s="574"/>
      <c r="T237" s="574">
        <v>1.0</v>
      </c>
      <c r="U237" s="574" t="str">
        <f t="shared" si="1"/>
        <v/>
      </c>
      <c r="V237" s="573"/>
      <c r="W237" s="573"/>
      <c r="X237" s="573"/>
      <c r="Y237" s="573"/>
      <c r="Z237" s="573"/>
      <c r="AA237" s="573"/>
      <c r="AB237" s="573"/>
      <c r="AC237" s="573"/>
      <c r="AD237" s="573"/>
      <c r="AE237" s="573"/>
      <c r="AF237" s="573"/>
      <c r="AG237" s="573"/>
      <c r="AH237" s="573"/>
      <c r="AI237" s="573"/>
    </row>
    <row r="238">
      <c r="B238" s="675" t="s">
        <v>2619</v>
      </c>
      <c r="C238" s="578" t="s">
        <v>4014</v>
      </c>
      <c r="D238" s="676" t="s">
        <v>4013</v>
      </c>
      <c r="E238" s="677"/>
      <c r="F238" s="711" t="s">
        <v>4260</v>
      </c>
      <c r="G238" s="574">
        <v>142.0</v>
      </c>
      <c r="H238" s="574">
        <v>148.0</v>
      </c>
      <c r="I238" s="573"/>
      <c r="J238" s="573"/>
      <c r="K238" s="574">
        <v>1.0</v>
      </c>
      <c r="L238" s="573"/>
      <c r="M238" s="573"/>
      <c r="N238" s="574">
        <v>1.0</v>
      </c>
      <c r="O238" s="574">
        <v>1.0</v>
      </c>
      <c r="P238" s="573"/>
      <c r="Q238" s="573"/>
      <c r="R238" s="574">
        <v>1.0</v>
      </c>
      <c r="S238" s="574"/>
      <c r="T238" s="574"/>
      <c r="U238" s="574" t="str">
        <f t="shared" si="1"/>
        <v/>
      </c>
      <c r="V238" s="573"/>
      <c r="W238" s="573"/>
      <c r="X238" s="573"/>
      <c r="Y238" s="573"/>
      <c r="Z238" s="573"/>
      <c r="AA238" s="573"/>
      <c r="AB238" s="573"/>
      <c r="AC238" s="573"/>
      <c r="AD238" s="573"/>
      <c r="AE238" s="573"/>
      <c r="AF238" s="573"/>
      <c r="AG238" s="573"/>
      <c r="AH238" s="573"/>
      <c r="AI238" s="573"/>
    </row>
    <row r="239">
      <c r="B239" s="675" t="s">
        <v>2613</v>
      </c>
      <c r="C239" s="578" t="s">
        <v>4016</v>
      </c>
      <c r="D239" s="676" t="s">
        <v>4015</v>
      </c>
      <c r="E239" s="677"/>
      <c r="F239" s="711" t="s">
        <v>4260</v>
      </c>
      <c r="G239" s="574">
        <v>222.0</v>
      </c>
      <c r="H239" s="574">
        <v>224.0</v>
      </c>
      <c r="I239" s="574">
        <v>1.0</v>
      </c>
      <c r="J239" s="574">
        <v>1.0</v>
      </c>
      <c r="K239" s="574">
        <v>1.0</v>
      </c>
      <c r="L239" s="574">
        <v>1.0</v>
      </c>
      <c r="M239" s="574">
        <v>1.0</v>
      </c>
      <c r="N239" s="573"/>
      <c r="O239" s="573"/>
      <c r="P239" s="573"/>
      <c r="Q239" s="573"/>
      <c r="R239" s="573"/>
      <c r="S239" s="574"/>
      <c r="T239" s="574"/>
      <c r="U239" s="574" t="str">
        <f t="shared" si="1"/>
        <v/>
      </c>
      <c r="V239" s="573"/>
      <c r="W239" s="573"/>
      <c r="X239" s="573"/>
      <c r="Y239" s="573"/>
      <c r="Z239" s="573"/>
      <c r="AA239" s="573"/>
      <c r="AB239" s="573"/>
      <c r="AC239" s="573"/>
      <c r="AD239" s="573"/>
      <c r="AE239" s="573"/>
      <c r="AF239" s="573"/>
      <c r="AG239" s="573"/>
      <c r="AH239" s="573"/>
      <c r="AI239" s="573"/>
    </row>
    <row r="240">
      <c r="B240" s="675" t="s">
        <v>2607</v>
      </c>
      <c r="C240" s="578" t="s">
        <v>4018</v>
      </c>
      <c r="D240" s="676" t="s">
        <v>4017</v>
      </c>
      <c r="E240" s="677"/>
      <c r="F240" s="711" t="s">
        <v>4260</v>
      </c>
      <c r="G240" s="574">
        <v>203.0</v>
      </c>
      <c r="H240" s="574">
        <v>190.0</v>
      </c>
      <c r="I240" s="573"/>
      <c r="J240" s="573"/>
      <c r="K240" s="573"/>
      <c r="L240" s="574">
        <v>1.0</v>
      </c>
      <c r="M240" s="573"/>
      <c r="N240" s="573"/>
      <c r="O240" s="574">
        <v>1.0</v>
      </c>
      <c r="P240" s="573"/>
      <c r="Q240" s="573"/>
      <c r="R240" s="574">
        <v>1.0</v>
      </c>
      <c r="S240" s="574"/>
      <c r="T240" s="574"/>
      <c r="U240" s="574" t="str">
        <f t="shared" si="1"/>
        <v/>
      </c>
      <c r="V240" s="573"/>
      <c r="W240" s="573"/>
      <c r="X240" s="573"/>
      <c r="Y240" s="573"/>
      <c r="Z240" s="573"/>
      <c r="AA240" s="573"/>
      <c r="AB240" s="573"/>
      <c r="AC240" s="573"/>
      <c r="AD240" s="573"/>
      <c r="AE240" s="573"/>
      <c r="AF240" s="573"/>
      <c r="AG240" s="573"/>
      <c r="AH240" s="573"/>
      <c r="AI240" s="573"/>
    </row>
    <row r="241">
      <c r="B241" s="675" t="s">
        <v>2601</v>
      </c>
      <c r="C241" s="578" t="s">
        <v>4020</v>
      </c>
      <c r="D241" s="676" t="s">
        <v>4019</v>
      </c>
      <c r="E241" s="677"/>
      <c r="F241" s="711" t="s">
        <v>4260</v>
      </c>
      <c r="G241" s="574">
        <v>1073.0</v>
      </c>
      <c r="H241" s="574">
        <v>165.0</v>
      </c>
      <c r="I241" s="574">
        <v>1.0</v>
      </c>
      <c r="J241" s="573"/>
      <c r="K241" s="574">
        <v>1.0</v>
      </c>
      <c r="L241" s="574">
        <v>1.0</v>
      </c>
      <c r="M241" s="573"/>
      <c r="N241" s="573"/>
      <c r="O241" s="573"/>
      <c r="P241" s="573"/>
      <c r="Q241" s="573"/>
      <c r="R241" s="574">
        <v>1.0</v>
      </c>
      <c r="S241" s="574"/>
      <c r="T241" s="574">
        <v>1.0</v>
      </c>
      <c r="U241" s="574" t="str">
        <f t="shared" si="1"/>
        <v/>
      </c>
      <c r="V241" s="574">
        <v>1.0</v>
      </c>
      <c r="W241" s="579"/>
      <c r="X241" s="573"/>
      <c r="Y241" s="573"/>
      <c r="Z241" s="573"/>
      <c r="AA241" s="573"/>
      <c r="AB241" s="573"/>
      <c r="AC241" s="573"/>
      <c r="AD241" s="573"/>
      <c r="AE241" s="573"/>
      <c r="AF241" s="573"/>
      <c r="AG241" s="573"/>
      <c r="AH241" s="573"/>
      <c r="AI241" s="573"/>
    </row>
    <row r="242">
      <c r="B242" s="675" t="s">
        <v>2596</v>
      </c>
      <c r="C242" s="578" t="s">
        <v>4023</v>
      </c>
      <c r="D242" s="676" t="s">
        <v>4021</v>
      </c>
      <c r="E242" s="677"/>
      <c r="F242" s="711" t="s">
        <v>4260</v>
      </c>
      <c r="G242" s="574">
        <v>189.0</v>
      </c>
      <c r="H242" s="574">
        <v>4.0</v>
      </c>
      <c r="I242" s="574">
        <v>1.0</v>
      </c>
      <c r="J242" s="573"/>
      <c r="K242" s="574">
        <v>1.0</v>
      </c>
      <c r="L242" s="574">
        <v>1.0</v>
      </c>
      <c r="M242" s="573"/>
      <c r="N242" s="573"/>
      <c r="O242" s="573"/>
      <c r="P242" s="573"/>
      <c r="Q242" s="573"/>
      <c r="R242" s="574">
        <v>1.0</v>
      </c>
      <c r="S242" s="574"/>
      <c r="T242" s="574"/>
      <c r="U242" s="574" t="str">
        <f t="shared" si="1"/>
        <v/>
      </c>
      <c r="V242" s="573"/>
      <c r="W242" s="573"/>
      <c r="X242" s="573"/>
      <c r="Y242" s="573"/>
      <c r="Z242" s="573"/>
      <c r="AA242" s="573"/>
      <c r="AB242" s="573"/>
      <c r="AC242" s="573"/>
      <c r="AD242" s="573"/>
      <c r="AE242" s="573"/>
      <c r="AF242" s="573"/>
      <c r="AG242" s="573"/>
      <c r="AH242" s="573"/>
      <c r="AI242" s="573"/>
    </row>
    <row r="243">
      <c r="B243" s="675" t="s">
        <v>2591</v>
      </c>
      <c r="C243" s="578" t="s">
        <v>4024</v>
      </c>
      <c r="D243" s="676" t="s">
        <v>3888</v>
      </c>
      <c r="E243" s="677"/>
      <c r="F243" s="711" t="s">
        <v>4260</v>
      </c>
      <c r="G243" s="574">
        <v>197.0</v>
      </c>
      <c r="H243" s="574">
        <v>36.0</v>
      </c>
      <c r="I243" s="574">
        <v>1.0</v>
      </c>
      <c r="J243" s="573"/>
      <c r="K243" s="574">
        <v>1.0</v>
      </c>
      <c r="L243" s="574">
        <v>1.0</v>
      </c>
      <c r="M243" s="573"/>
      <c r="N243" s="573"/>
      <c r="O243" s="573"/>
      <c r="P243" s="573"/>
      <c r="Q243" s="573"/>
      <c r="R243" s="574">
        <v>1.0</v>
      </c>
      <c r="S243" s="574"/>
      <c r="T243" s="574"/>
      <c r="U243" s="574" t="str">
        <f t="shared" si="1"/>
        <v/>
      </c>
      <c r="V243" s="574">
        <v>1.0</v>
      </c>
      <c r="W243" s="579"/>
      <c r="X243" s="573"/>
      <c r="Y243" s="573"/>
      <c r="Z243" s="573"/>
      <c r="AA243" s="573"/>
      <c r="AB243" s="573"/>
      <c r="AC243" s="573"/>
      <c r="AD243" s="573"/>
      <c r="AE243" s="573"/>
      <c r="AF243" s="573"/>
      <c r="AG243" s="573"/>
      <c r="AH243" s="573"/>
      <c r="AI243" s="573"/>
    </row>
    <row r="244">
      <c r="A244" s="659" t="s">
        <v>2481</v>
      </c>
      <c r="B244" s="660" t="s">
        <v>2577</v>
      </c>
      <c r="C244" s="551" t="s">
        <v>4025</v>
      </c>
      <c r="D244" s="661" t="s">
        <v>2578</v>
      </c>
      <c r="E244" s="662"/>
      <c r="F244" s="706" t="s">
        <v>4260</v>
      </c>
      <c r="G244" s="545">
        <v>808.0</v>
      </c>
      <c r="H244" s="545">
        <v>101.0</v>
      </c>
      <c r="I244" s="546"/>
      <c r="J244" s="546"/>
      <c r="K244" s="545">
        <v>1.0</v>
      </c>
      <c r="L244" s="545"/>
      <c r="M244" s="546"/>
      <c r="N244" s="546"/>
      <c r="O244" s="545">
        <v>1.0</v>
      </c>
      <c r="P244" s="546"/>
      <c r="Q244" s="546"/>
      <c r="R244" s="545">
        <v>1.0</v>
      </c>
      <c r="S244" s="545"/>
      <c r="T244" s="545"/>
      <c r="U244" s="545" t="str">
        <f t="shared" si="1"/>
        <v/>
      </c>
      <c r="V244" s="546"/>
      <c r="W244" s="546"/>
      <c r="X244" s="546"/>
      <c r="Y244" s="546"/>
      <c r="Z244" s="546"/>
      <c r="AA244" s="546"/>
      <c r="AB244" s="546"/>
      <c r="AC244" s="546"/>
      <c r="AD244" s="546"/>
      <c r="AE244" s="546"/>
      <c r="AF244" s="546"/>
      <c r="AG244" s="546"/>
      <c r="AH244" s="546"/>
      <c r="AI244" s="546"/>
    </row>
    <row r="245">
      <c r="B245" s="660" t="s">
        <v>2571</v>
      </c>
      <c r="C245" s="551" t="s">
        <v>4026</v>
      </c>
      <c r="D245" s="661" t="s">
        <v>2572</v>
      </c>
      <c r="E245" s="663" t="s">
        <v>3728</v>
      </c>
      <c r="F245" s="706"/>
      <c r="G245" s="545">
        <v>1157.0</v>
      </c>
      <c r="H245" s="545">
        <v>112.0</v>
      </c>
      <c r="I245" s="546"/>
      <c r="J245" s="546"/>
      <c r="K245" s="546"/>
      <c r="L245" s="546"/>
      <c r="M245" s="546"/>
      <c r="N245" s="546"/>
      <c r="O245" s="546"/>
      <c r="P245" s="546"/>
      <c r="Q245" s="546"/>
      <c r="R245" s="546"/>
      <c r="S245" s="545"/>
      <c r="T245" s="545"/>
      <c r="U245" s="545" t="str">
        <f t="shared" si="1"/>
        <v/>
      </c>
      <c r="V245" s="546"/>
      <c r="W245" s="546"/>
      <c r="X245" s="546"/>
      <c r="Y245" s="546"/>
      <c r="Z245" s="546"/>
      <c r="AA245" s="546"/>
      <c r="AB245" s="546"/>
      <c r="AC245" s="546"/>
      <c r="AD245" s="546"/>
      <c r="AE245" s="546"/>
      <c r="AF245" s="546"/>
      <c r="AG245" s="546"/>
      <c r="AH245" s="546"/>
      <c r="AI245" s="546"/>
    </row>
    <row r="246">
      <c r="B246" s="660" t="s">
        <v>2564</v>
      </c>
      <c r="C246" s="551" t="s">
        <v>4027</v>
      </c>
      <c r="D246" s="661" t="s">
        <v>2565</v>
      </c>
      <c r="E246" s="662"/>
      <c r="F246" s="706" t="s">
        <v>4260</v>
      </c>
      <c r="G246" s="545">
        <v>554.0</v>
      </c>
      <c r="H246" s="545">
        <v>18.0</v>
      </c>
      <c r="I246" s="545">
        <v>1.0</v>
      </c>
      <c r="J246" s="546"/>
      <c r="K246" s="545">
        <v>1.0</v>
      </c>
      <c r="L246" s="545">
        <v>1.0</v>
      </c>
      <c r="M246" s="546"/>
      <c r="N246" s="546"/>
      <c r="O246" s="545">
        <v>1.0</v>
      </c>
      <c r="P246" s="545">
        <v>1.0</v>
      </c>
      <c r="Q246" s="546"/>
      <c r="R246" s="545">
        <v>1.0</v>
      </c>
      <c r="S246" s="545"/>
      <c r="T246" s="545"/>
      <c r="U246" s="545" t="str">
        <f t="shared" si="1"/>
        <v/>
      </c>
      <c r="V246" s="545">
        <v>1.0</v>
      </c>
      <c r="W246" s="546"/>
      <c r="X246" s="546"/>
      <c r="Y246" s="546"/>
      <c r="Z246" s="546"/>
      <c r="AA246" s="546"/>
      <c r="AB246" s="546"/>
      <c r="AC246" s="546"/>
      <c r="AD246" s="546"/>
      <c r="AE246" s="546"/>
      <c r="AF246" s="546"/>
      <c r="AG246" s="546"/>
      <c r="AH246" s="546"/>
      <c r="AI246" s="546"/>
    </row>
    <row r="247">
      <c r="B247" s="660" t="s">
        <v>2557</v>
      </c>
      <c r="C247" s="551" t="s">
        <v>4028</v>
      </c>
      <c r="D247" s="661" t="s">
        <v>2558</v>
      </c>
      <c r="E247" s="662"/>
      <c r="F247" s="706" t="s">
        <v>4260</v>
      </c>
      <c r="G247" s="545">
        <v>2623.0</v>
      </c>
      <c r="H247" s="545">
        <v>4242.0</v>
      </c>
      <c r="I247" s="545">
        <v>1.0</v>
      </c>
      <c r="J247" s="545">
        <v>1.0</v>
      </c>
      <c r="K247" s="545">
        <v>1.0</v>
      </c>
      <c r="L247" s="545">
        <v>1.0</v>
      </c>
      <c r="M247" s="546"/>
      <c r="N247" s="546"/>
      <c r="O247" s="545">
        <v>1.0</v>
      </c>
      <c r="P247" s="546"/>
      <c r="Q247" s="545">
        <v>1.0</v>
      </c>
      <c r="R247" s="545">
        <v>1.0</v>
      </c>
      <c r="S247" s="545"/>
      <c r="T247" s="545">
        <v>1.0</v>
      </c>
      <c r="U247" s="545" t="str">
        <f t="shared" si="1"/>
        <v/>
      </c>
      <c r="V247" s="545">
        <v>1.0</v>
      </c>
      <c r="W247" s="546"/>
      <c r="X247" s="546"/>
      <c r="Y247" s="546"/>
      <c r="Z247" s="546"/>
      <c r="AA247" s="546"/>
      <c r="AB247" s="546"/>
      <c r="AC247" s="546"/>
      <c r="AD247" s="546"/>
      <c r="AE247" s="546"/>
      <c r="AF247" s="546"/>
      <c r="AG247" s="546"/>
      <c r="AH247" s="546"/>
      <c r="AI247" s="546"/>
    </row>
    <row r="248">
      <c r="B248" s="660" t="s">
        <v>2550</v>
      </c>
      <c r="C248" s="551" t="s">
        <v>4029</v>
      </c>
      <c r="D248" s="661" t="s">
        <v>2551</v>
      </c>
      <c r="E248" s="662"/>
      <c r="F248" s="706" t="s">
        <v>4260</v>
      </c>
      <c r="G248" s="545">
        <v>499.0</v>
      </c>
      <c r="H248" s="545">
        <v>36.0</v>
      </c>
      <c r="I248" s="545">
        <v>1.0</v>
      </c>
      <c r="J248" s="545">
        <v>1.0</v>
      </c>
      <c r="K248" s="545">
        <v>1.0</v>
      </c>
      <c r="L248" s="545">
        <v>1.0</v>
      </c>
      <c r="M248" s="546"/>
      <c r="N248" s="545">
        <v>1.0</v>
      </c>
      <c r="O248" s="545">
        <v>1.0</v>
      </c>
      <c r="P248" s="546"/>
      <c r="Q248" s="546"/>
      <c r="R248" s="545">
        <v>1.0</v>
      </c>
      <c r="S248" s="545"/>
      <c r="T248" s="545"/>
      <c r="U248" s="545" t="str">
        <f t="shared" si="1"/>
        <v/>
      </c>
      <c r="V248" s="546"/>
      <c r="W248" s="546"/>
      <c r="X248" s="546"/>
      <c r="Y248" s="546"/>
      <c r="Z248" s="546"/>
      <c r="AA248" s="546"/>
      <c r="AB248" s="546"/>
      <c r="AC248" s="546"/>
      <c r="AD248" s="546"/>
      <c r="AE248" s="546"/>
      <c r="AF248" s="546"/>
      <c r="AG248" s="546"/>
      <c r="AH248" s="546"/>
      <c r="AI248" s="546"/>
    </row>
    <row r="249">
      <c r="B249" s="660" t="s">
        <v>2543</v>
      </c>
      <c r="C249" s="551" t="s">
        <v>4030</v>
      </c>
      <c r="D249" s="661" t="s">
        <v>2544</v>
      </c>
      <c r="E249" s="662"/>
      <c r="F249" s="706" t="s">
        <v>4260</v>
      </c>
      <c r="G249" s="545">
        <v>2338.0</v>
      </c>
      <c r="H249" s="545">
        <v>57.0</v>
      </c>
      <c r="I249" s="546"/>
      <c r="J249" s="546"/>
      <c r="K249" s="545">
        <v>1.0</v>
      </c>
      <c r="L249" s="546"/>
      <c r="M249" s="546"/>
      <c r="N249" s="546"/>
      <c r="O249" s="545">
        <v>1.0</v>
      </c>
      <c r="P249" s="546"/>
      <c r="Q249" s="546"/>
      <c r="R249" s="545">
        <v>1.0</v>
      </c>
      <c r="S249" s="545"/>
      <c r="T249" s="545"/>
      <c r="U249" s="545" t="str">
        <f t="shared" si="1"/>
        <v/>
      </c>
      <c r="V249" s="545">
        <v>1.0</v>
      </c>
      <c r="W249" s="585"/>
      <c r="X249" s="546"/>
      <c r="Y249" s="546"/>
      <c r="Z249" s="546"/>
      <c r="AA249" s="546"/>
      <c r="AB249" s="546"/>
      <c r="AC249" s="546"/>
      <c r="AD249" s="546"/>
      <c r="AE249" s="546"/>
      <c r="AF249" s="546"/>
      <c r="AG249" s="546"/>
      <c r="AH249" s="546"/>
      <c r="AI249" s="546"/>
    </row>
    <row r="250">
      <c r="B250" s="660" t="s">
        <v>2536</v>
      </c>
      <c r="C250" s="551" t="s">
        <v>4031</v>
      </c>
      <c r="D250" s="661" t="s">
        <v>2537</v>
      </c>
      <c r="E250" s="662"/>
      <c r="F250" s="706" t="s">
        <v>4260</v>
      </c>
      <c r="G250" s="545">
        <v>478.0</v>
      </c>
      <c r="H250" s="545">
        <v>166.0</v>
      </c>
      <c r="I250" s="546"/>
      <c r="J250" s="545">
        <v>1.0</v>
      </c>
      <c r="K250" s="545">
        <v>1.0</v>
      </c>
      <c r="L250" s="546"/>
      <c r="M250" s="546"/>
      <c r="N250" s="546"/>
      <c r="O250" s="545">
        <v>1.0</v>
      </c>
      <c r="P250" s="546"/>
      <c r="Q250" s="546"/>
      <c r="R250" s="545">
        <v>1.0</v>
      </c>
      <c r="S250" s="545"/>
      <c r="T250" s="545">
        <v>1.0</v>
      </c>
      <c r="U250" s="545" t="str">
        <f t="shared" si="1"/>
        <v/>
      </c>
      <c r="V250" s="545">
        <v>1.0</v>
      </c>
      <c r="W250" s="546"/>
      <c r="X250" s="546"/>
      <c r="Y250" s="546"/>
      <c r="Z250" s="546"/>
      <c r="AA250" s="546"/>
      <c r="AB250" s="546"/>
      <c r="AC250" s="546"/>
      <c r="AD250" s="546"/>
      <c r="AE250" s="546"/>
      <c r="AF250" s="546"/>
      <c r="AG250" s="546"/>
      <c r="AH250" s="546"/>
      <c r="AI250" s="546"/>
    </row>
    <row r="251">
      <c r="B251" s="660" t="s">
        <v>2530</v>
      </c>
      <c r="C251" s="551" t="s">
        <v>4032</v>
      </c>
      <c r="D251" s="661" t="s">
        <v>2531</v>
      </c>
      <c r="E251" s="663" t="s">
        <v>3728</v>
      </c>
      <c r="F251" s="706"/>
      <c r="G251" s="545">
        <v>51.0</v>
      </c>
      <c r="H251" s="545">
        <v>20.0</v>
      </c>
      <c r="I251" s="546"/>
      <c r="J251" s="546"/>
      <c r="K251" s="546"/>
      <c r="L251" s="546"/>
      <c r="M251" s="546"/>
      <c r="N251" s="546"/>
      <c r="O251" s="546"/>
      <c r="P251" s="546"/>
      <c r="Q251" s="546"/>
      <c r="R251" s="546"/>
      <c r="S251" s="545"/>
      <c r="T251" s="545"/>
      <c r="U251" s="545" t="str">
        <f t="shared" si="1"/>
        <v/>
      </c>
      <c r="V251" s="546"/>
      <c r="W251" s="546"/>
      <c r="X251" s="546"/>
      <c r="Y251" s="546"/>
      <c r="Z251" s="546"/>
      <c r="AA251" s="546"/>
      <c r="AB251" s="546"/>
      <c r="AC251" s="546"/>
      <c r="AD251" s="546"/>
      <c r="AE251" s="546"/>
      <c r="AF251" s="546"/>
      <c r="AG251" s="546"/>
      <c r="AH251" s="546"/>
      <c r="AI251" s="546"/>
    </row>
    <row r="252">
      <c r="B252" s="660" t="s">
        <v>2524</v>
      </c>
      <c r="C252" s="551" t="s">
        <v>4033</v>
      </c>
      <c r="D252" s="661" t="s">
        <v>2525</v>
      </c>
      <c r="E252" s="662"/>
      <c r="F252" s="706" t="s">
        <v>4260</v>
      </c>
      <c r="G252" s="545">
        <v>1477.0</v>
      </c>
      <c r="H252" s="545">
        <v>33.0</v>
      </c>
      <c r="I252" s="545">
        <v>1.0</v>
      </c>
      <c r="J252" s="546"/>
      <c r="K252" s="545">
        <v>1.0</v>
      </c>
      <c r="L252" s="546"/>
      <c r="M252" s="546"/>
      <c r="N252" s="546"/>
      <c r="O252" s="546"/>
      <c r="P252" s="545"/>
      <c r="Q252" s="545">
        <v>1.0</v>
      </c>
      <c r="R252" s="545">
        <v>1.0</v>
      </c>
      <c r="S252" s="545"/>
      <c r="T252" s="545"/>
      <c r="U252" s="545" t="str">
        <f t="shared" si="1"/>
        <v/>
      </c>
      <c r="V252" s="545">
        <v>1.0</v>
      </c>
      <c r="W252" s="585"/>
      <c r="X252" s="546"/>
      <c r="Y252" s="546"/>
      <c r="Z252" s="546"/>
      <c r="AA252" s="546"/>
      <c r="AB252" s="546"/>
      <c r="AC252" s="546"/>
      <c r="AD252" s="546"/>
      <c r="AE252" s="546"/>
      <c r="AF252" s="546"/>
      <c r="AG252" s="546"/>
      <c r="AH252" s="546"/>
      <c r="AI252" s="546"/>
    </row>
    <row r="253">
      <c r="B253" s="660" t="s">
        <v>2518</v>
      </c>
      <c r="C253" s="551" t="s">
        <v>4034</v>
      </c>
      <c r="D253" s="661" t="s">
        <v>2519</v>
      </c>
      <c r="E253" s="662"/>
      <c r="F253" s="706" t="s">
        <v>4538</v>
      </c>
      <c r="G253" s="545">
        <v>170.0</v>
      </c>
      <c r="H253" s="545">
        <v>23.0</v>
      </c>
      <c r="I253" s="545">
        <v>1.0</v>
      </c>
      <c r="J253" s="546"/>
      <c r="K253" s="546"/>
      <c r="L253" s="545">
        <v>1.0</v>
      </c>
      <c r="M253" s="546"/>
      <c r="N253" s="546"/>
      <c r="O253" s="545">
        <v>1.0</v>
      </c>
      <c r="P253" s="546"/>
      <c r="Q253" s="546"/>
      <c r="R253" s="545">
        <v>1.0</v>
      </c>
      <c r="S253" s="545"/>
      <c r="T253" s="545"/>
      <c r="U253" s="545" t="str">
        <f t="shared" si="1"/>
        <v/>
      </c>
      <c r="V253" s="545">
        <v>1.0</v>
      </c>
      <c r="W253" s="585"/>
      <c r="X253" s="546"/>
      <c r="Y253" s="546"/>
      <c r="Z253" s="546"/>
      <c r="AA253" s="546"/>
      <c r="AB253" s="546"/>
      <c r="AC253" s="546"/>
      <c r="AD253" s="546"/>
      <c r="AE253" s="546"/>
      <c r="AF253" s="546"/>
      <c r="AG253" s="546"/>
      <c r="AH253" s="546"/>
      <c r="AI253" s="546"/>
    </row>
    <row r="254">
      <c r="B254" s="660" t="s">
        <v>2512</v>
      </c>
      <c r="C254" s="551" t="s">
        <v>4035</v>
      </c>
      <c r="D254" s="661" t="s">
        <v>2513</v>
      </c>
      <c r="E254" s="662"/>
      <c r="F254" s="706" t="s">
        <v>4260</v>
      </c>
      <c r="G254" s="545">
        <v>506.0</v>
      </c>
      <c r="H254" s="545">
        <v>3.0</v>
      </c>
      <c r="I254" s="545">
        <v>1.0</v>
      </c>
      <c r="J254" s="546"/>
      <c r="K254" s="546"/>
      <c r="L254" s="546"/>
      <c r="M254" s="546"/>
      <c r="N254" s="546"/>
      <c r="O254" s="546"/>
      <c r="P254" s="545">
        <v>1.0</v>
      </c>
      <c r="Q254" s="546"/>
      <c r="R254" s="545">
        <v>1.0</v>
      </c>
      <c r="S254" s="545"/>
      <c r="T254" s="545"/>
      <c r="U254" s="545" t="str">
        <f t="shared" si="1"/>
        <v/>
      </c>
      <c r="V254" s="545">
        <v>1.0</v>
      </c>
      <c r="W254" s="585"/>
      <c r="X254" s="546"/>
      <c r="Y254" s="546"/>
      <c r="Z254" s="546"/>
      <c r="AA254" s="546"/>
      <c r="AB254" s="546"/>
      <c r="AC254" s="546"/>
      <c r="AD254" s="546"/>
      <c r="AE254" s="546"/>
      <c r="AF254" s="546"/>
      <c r="AG254" s="546"/>
      <c r="AH254" s="546"/>
      <c r="AI254" s="546"/>
    </row>
    <row r="255">
      <c r="B255" s="660" t="s">
        <v>2506</v>
      </c>
      <c r="C255" s="551" t="s">
        <v>4036</v>
      </c>
      <c r="D255" s="661" t="s">
        <v>2507</v>
      </c>
      <c r="E255" s="662"/>
      <c r="F255" s="706" t="s">
        <v>4539</v>
      </c>
      <c r="G255" s="545">
        <v>846.0</v>
      </c>
      <c r="H255" s="545">
        <v>141.0</v>
      </c>
      <c r="I255" s="545">
        <v>1.0</v>
      </c>
      <c r="J255" s="545">
        <v>1.0</v>
      </c>
      <c r="K255" s="545">
        <v>1.0</v>
      </c>
      <c r="L255" s="546"/>
      <c r="M255" s="546"/>
      <c r="N255" s="546"/>
      <c r="O255" s="545">
        <v>1.0</v>
      </c>
      <c r="P255" s="545">
        <v>1.0</v>
      </c>
      <c r="Q255" s="546"/>
      <c r="R255" s="545">
        <v>1.0</v>
      </c>
      <c r="S255" s="545"/>
      <c r="T255" s="545">
        <v>1.0</v>
      </c>
      <c r="U255" s="545" t="str">
        <f t="shared" si="1"/>
        <v/>
      </c>
      <c r="V255" s="545">
        <v>1.0</v>
      </c>
      <c r="W255" s="585"/>
      <c r="X255" s="546"/>
      <c r="Y255" s="546"/>
      <c r="Z255" s="546"/>
      <c r="AA255" s="546"/>
      <c r="AB255" s="546"/>
      <c r="AC255" s="546"/>
      <c r="AD255" s="546"/>
      <c r="AE255" s="546"/>
      <c r="AF255" s="546"/>
      <c r="AG255" s="546"/>
      <c r="AH255" s="546"/>
      <c r="AI255" s="546"/>
    </row>
    <row r="256">
      <c r="B256" s="660" t="s">
        <v>2500</v>
      </c>
      <c r="C256" s="551" t="s">
        <v>4037</v>
      </c>
      <c r="D256" s="661" t="s">
        <v>2501</v>
      </c>
      <c r="E256" s="662"/>
      <c r="F256" s="706" t="s">
        <v>4260</v>
      </c>
      <c r="G256" s="545">
        <v>524.0</v>
      </c>
      <c r="H256" s="545">
        <v>85.0</v>
      </c>
      <c r="I256" s="545">
        <v>1.0</v>
      </c>
      <c r="J256" s="546"/>
      <c r="K256" s="546"/>
      <c r="L256" s="545">
        <v>1.0</v>
      </c>
      <c r="M256" s="546"/>
      <c r="N256" s="546"/>
      <c r="O256" s="545">
        <v>1.0</v>
      </c>
      <c r="P256" s="546"/>
      <c r="Q256" s="546"/>
      <c r="R256" s="546"/>
      <c r="S256" s="545"/>
      <c r="T256" s="545"/>
      <c r="U256" s="545" t="str">
        <f t="shared" si="1"/>
        <v/>
      </c>
      <c r="V256" s="546"/>
      <c r="W256" s="546"/>
      <c r="X256" s="546"/>
      <c r="Y256" s="546"/>
      <c r="Z256" s="546"/>
      <c r="AA256" s="546"/>
      <c r="AB256" s="546"/>
      <c r="AC256" s="546"/>
      <c r="AD256" s="546"/>
      <c r="AE256" s="546"/>
      <c r="AF256" s="546"/>
      <c r="AG256" s="546"/>
      <c r="AH256" s="546"/>
      <c r="AI256" s="546"/>
    </row>
    <row r="257">
      <c r="B257" s="660" t="s">
        <v>2488</v>
      </c>
      <c r="C257" s="551" t="s">
        <v>4038</v>
      </c>
      <c r="D257" s="661" t="s">
        <v>2489</v>
      </c>
      <c r="E257" s="663" t="s">
        <v>3728</v>
      </c>
      <c r="F257" s="706"/>
      <c r="G257" s="545">
        <v>553.0</v>
      </c>
      <c r="H257" s="545">
        <v>1.0</v>
      </c>
      <c r="I257" s="546"/>
      <c r="J257" s="546"/>
      <c r="K257" s="546"/>
      <c r="L257" s="546"/>
      <c r="M257" s="546"/>
      <c r="N257" s="546"/>
      <c r="O257" s="545">
        <v>1.0</v>
      </c>
      <c r="P257" s="546"/>
      <c r="Q257" s="546"/>
      <c r="R257" s="546"/>
      <c r="S257" s="545"/>
      <c r="T257" s="545"/>
      <c r="U257" s="545" t="str">
        <f t="shared" si="1"/>
        <v/>
      </c>
      <c r="V257" s="546"/>
      <c r="W257" s="546"/>
      <c r="X257" s="546"/>
      <c r="Y257" s="546"/>
      <c r="Z257" s="546"/>
      <c r="AA257" s="546"/>
      <c r="AB257" s="546"/>
      <c r="AC257" s="546"/>
      <c r="AD257" s="546"/>
      <c r="AE257" s="546"/>
      <c r="AF257" s="546"/>
      <c r="AG257" s="546"/>
      <c r="AH257" s="546"/>
      <c r="AI257" s="546"/>
    </row>
    <row r="258">
      <c r="B258" s="660" t="s">
        <v>2482</v>
      </c>
      <c r="C258" s="551" t="s">
        <v>4039</v>
      </c>
      <c r="D258" s="661" t="s">
        <v>2483</v>
      </c>
      <c r="E258" s="663" t="s">
        <v>1263</v>
      </c>
      <c r="F258" s="706"/>
      <c r="G258" s="545">
        <v>1114.0</v>
      </c>
      <c r="H258" s="545">
        <v>0.0</v>
      </c>
      <c r="I258" s="546"/>
      <c r="J258" s="545">
        <v>1.0</v>
      </c>
      <c r="K258" s="545">
        <v>1.0</v>
      </c>
      <c r="L258" s="545">
        <v>1.0</v>
      </c>
      <c r="M258" s="546"/>
      <c r="N258" s="546"/>
      <c r="O258" s="546"/>
      <c r="P258" s="545">
        <v>1.0</v>
      </c>
      <c r="Q258" s="546"/>
      <c r="R258" s="545">
        <v>1.0</v>
      </c>
      <c r="S258" s="545"/>
      <c r="T258" s="545"/>
      <c r="U258" s="545" t="str">
        <f t="shared" si="1"/>
        <v/>
      </c>
      <c r="V258" s="545">
        <v>1.0</v>
      </c>
      <c r="W258" s="546"/>
      <c r="X258" s="546"/>
      <c r="Y258" s="546"/>
      <c r="Z258" s="546"/>
      <c r="AA258" s="546"/>
      <c r="AB258" s="546"/>
      <c r="AC258" s="546"/>
      <c r="AD258" s="546"/>
      <c r="AE258" s="546"/>
      <c r="AF258" s="546"/>
      <c r="AG258" s="546"/>
      <c r="AH258" s="546"/>
      <c r="AI258" s="546"/>
    </row>
    <row r="259">
      <c r="A259" s="679" t="s">
        <v>2779</v>
      </c>
      <c r="B259" s="680" t="s">
        <v>2829</v>
      </c>
      <c r="C259" s="592" t="s">
        <v>4042</v>
      </c>
      <c r="D259" s="681" t="s">
        <v>4040</v>
      </c>
      <c r="E259" s="682"/>
      <c r="F259" s="712" t="s">
        <v>4540</v>
      </c>
      <c r="G259" s="588">
        <v>441.0</v>
      </c>
      <c r="H259" s="588">
        <v>340.0</v>
      </c>
      <c r="I259" s="329"/>
      <c r="J259" s="329"/>
      <c r="K259" s="588"/>
      <c r="L259" s="588">
        <v>1.0</v>
      </c>
      <c r="M259" s="329"/>
      <c r="N259" s="588">
        <v>1.0</v>
      </c>
      <c r="O259" s="588">
        <v>1.0</v>
      </c>
      <c r="P259" s="329"/>
      <c r="Q259" s="329"/>
      <c r="R259" s="588">
        <v>1.0</v>
      </c>
      <c r="S259" s="588"/>
      <c r="T259" s="588"/>
      <c r="U259" s="588" t="str">
        <f t="shared" si="1"/>
        <v/>
      </c>
      <c r="V259" s="329"/>
      <c r="W259" s="329"/>
      <c r="X259" s="329"/>
      <c r="Y259" s="329"/>
      <c r="Z259" s="329"/>
      <c r="AA259" s="329"/>
      <c r="AB259" s="329"/>
      <c r="AC259" s="329"/>
      <c r="AD259" s="329"/>
      <c r="AE259" s="329"/>
      <c r="AF259" s="329"/>
      <c r="AG259" s="329"/>
      <c r="AH259" s="329"/>
      <c r="AI259" s="329"/>
    </row>
    <row r="260">
      <c r="B260" s="680" t="s">
        <v>2824</v>
      </c>
      <c r="C260" s="592" t="s">
        <v>4043</v>
      </c>
      <c r="D260" s="681" t="s">
        <v>4003</v>
      </c>
      <c r="E260" s="682"/>
      <c r="F260" s="713"/>
      <c r="G260" s="588">
        <v>162.0</v>
      </c>
      <c r="H260" s="588">
        <v>202.0</v>
      </c>
      <c r="I260" s="329"/>
      <c r="J260" s="329"/>
      <c r="K260" s="588">
        <v>1.0</v>
      </c>
      <c r="L260" s="588" t="s">
        <v>706</v>
      </c>
      <c r="M260" s="329"/>
      <c r="N260" s="588">
        <v>1.0</v>
      </c>
      <c r="O260" s="588">
        <v>1.0</v>
      </c>
      <c r="P260" s="329"/>
      <c r="Q260" s="329"/>
      <c r="R260" s="588">
        <v>1.0</v>
      </c>
      <c r="S260" s="588">
        <v>1.0</v>
      </c>
      <c r="T260" s="588"/>
      <c r="U260" s="588" t="str">
        <f t="shared" si="1"/>
        <v/>
      </c>
      <c r="V260" s="329"/>
      <c r="W260" s="329"/>
      <c r="X260" s="329"/>
      <c r="Y260" s="329"/>
      <c r="Z260" s="329"/>
      <c r="AA260" s="329"/>
      <c r="AB260" s="329"/>
      <c r="AC260" s="329"/>
      <c r="AD260" s="329"/>
      <c r="AE260" s="329"/>
      <c r="AF260" s="329"/>
      <c r="AG260" s="329"/>
      <c r="AH260" s="329"/>
      <c r="AI260" s="329"/>
    </row>
    <row r="261">
      <c r="B261" s="680" t="s">
        <v>2819</v>
      </c>
      <c r="C261" s="592" t="s">
        <v>4045</v>
      </c>
      <c r="D261" s="681" t="s">
        <v>4044</v>
      </c>
      <c r="E261" s="682"/>
      <c r="F261" s="713"/>
      <c r="G261" s="588">
        <v>89.0</v>
      </c>
      <c r="H261" s="588">
        <v>67.0</v>
      </c>
      <c r="I261" s="588">
        <v>1.0</v>
      </c>
      <c r="J261" s="329"/>
      <c r="K261" s="588">
        <v>1.0</v>
      </c>
      <c r="L261" s="329"/>
      <c r="M261" s="329"/>
      <c r="N261" s="329"/>
      <c r="O261" s="588">
        <v>1.0</v>
      </c>
      <c r="P261" s="329"/>
      <c r="Q261" s="329"/>
      <c r="R261" s="588">
        <v>1.0</v>
      </c>
      <c r="S261" s="588"/>
      <c r="T261" s="588"/>
      <c r="U261" s="588" t="str">
        <f t="shared" si="1"/>
        <v/>
      </c>
      <c r="V261" s="329"/>
      <c r="W261" s="329"/>
      <c r="X261" s="329"/>
      <c r="Y261" s="329"/>
      <c r="Z261" s="329"/>
      <c r="AA261" s="329"/>
      <c r="AB261" s="329"/>
      <c r="AC261" s="329"/>
      <c r="AD261" s="329"/>
      <c r="AE261" s="329"/>
      <c r="AF261" s="329"/>
      <c r="AG261" s="329"/>
      <c r="AH261" s="329"/>
      <c r="AI261" s="329"/>
    </row>
    <row r="262">
      <c r="B262" s="680" t="s">
        <v>2814</v>
      </c>
      <c r="C262" s="592" t="s">
        <v>4047</v>
      </c>
      <c r="D262" s="681" t="s">
        <v>4046</v>
      </c>
      <c r="E262" s="682"/>
      <c r="F262" s="713"/>
      <c r="G262" s="588">
        <v>23130.0</v>
      </c>
      <c r="H262" s="588">
        <v>483.0</v>
      </c>
      <c r="I262" s="588">
        <v>1.0</v>
      </c>
      <c r="J262" s="329"/>
      <c r="K262" s="588">
        <v>1.0</v>
      </c>
      <c r="L262" s="588">
        <v>1.0</v>
      </c>
      <c r="M262" s="329"/>
      <c r="N262" s="588">
        <v>1.0</v>
      </c>
      <c r="O262" s="588">
        <v>1.0</v>
      </c>
      <c r="P262" s="329"/>
      <c r="Q262" s="329"/>
      <c r="R262" s="588">
        <v>1.0</v>
      </c>
      <c r="S262" s="588"/>
      <c r="T262" s="588">
        <v>1.0</v>
      </c>
      <c r="U262" s="588" t="str">
        <f t="shared" si="1"/>
        <v/>
      </c>
      <c r="V262" s="329"/>
      <c r="W262" s="329"/>
      <c r="X262" s="329"/>
      <c r="Y262" s="329"/>
      <c r="Z262" s="329"/>
      <c r="AA262" s="329"/>
      <c r="AB262" s="329"/>
      <c r="AC262" s="329"/>
      <c r="AD262" s="329"/>
      <c r="AE262" s="329"/>
      <c r="AF262" s="329"/>
      <c r="AG262" s="329"/>
      <c r="AH262" s="329"/>
      <c r="AI262" s="329"/>
    </row>
    <row r="263">
      <c r="B263" s="680" t="s">
        <v>2809</v>
      </c>
      <c r="C263" s="592" t="s">
        <v>4048</v>
      </c>
      <c r="D263" s="681" t="s">
        <v>4001</v>
      </c>
      <c r="E263" s="682"/>
      <c r="F263" s="713"/>
      <c r="G263" s="588">
        <v>836.0</v>
      </c>
      <c r="H263" s="588">
        <v>1015.0</v>
      </c>
      <c r="I263" s="329"/>
      <c r="J263" s="329"/>
      <c r="K263" s="329"/>
      <c r="L263" s="329"/>
      <c r="M263" s="329"/>
      <c r="N263" s="329"/>
      <c r="O263" s="588">
        <v>1.0</v>
      </c>
      <c r="P263" s="329"/>
      <c r="Q263" s="329"/>
      <c r="R263" s="588">
        <v>1.0</v>
      </c>
      <c r="S263" s="588"/>
      <c r="T263" s="588">
        <v>1.0</v>
      </c>
      <c r="U263" s="588" t="str">
        <f t="shared" si="1"/>
        <v/>
      </c>
      <c r="V263" s="329"/>
      <c r="W263" s="329"/>
      <c r="X263" s="329"/>
      <c r="Y263" s="329"/>
      <c r="Z263" s="329"/>
      <c r="AA263" s="329"/>
      <c r="AB263" s="329"/>
      <c r="AC263" s="329"/>
      <c r="AD263" s="329"/>
      <c r="AE263" s="329"/>
      <c r="AF263" s="329"/>
      <c r="AG263" s="329"/>
      <c r="AH263" s="329"/>
      <c r="AI263" s="329"/>
    </row>
    <row r="264">
      <c r="B264" s="680" t="s">
        <v>2804</v>
      </c>
      <c r="C264" s="592" t="s">
        <v>4050</v>
      </c>
      <c r="D264" s="681" t="s">
        <v>4049</v>
      </c>
      <c r="E264" s="683" t="s">
        <v>3728</v>
      </c>
      <c r="F264" s="712"/>
      <c r="G264" s="588">
        <v>424.0</v>
      </c>
      <c r="H264" s="588">
        <v>153.0</v>
      </c>
      <c r="I264" s="329"/>
      <c r="J264" s="329"/>
      <c r="K264" s="329"/>
      <c r="L264" s="329"/>
      <c r="M264" s="329"/>
      <c r="N264" s="329"/>
      <c r="O264" s="329"/>
      <c r="P264" s="329"/>
      <c r="Q264" s="329"/>
      <c r="R264" s="329"/>
      <c r="S264" s="588"/>
      <c r="T264" s="588"/>
      <c r="U264" s="588" t="str">
        <f t="shared" si="1"/>
        <v/>
      </c>
      <c r="V264" s="329"/>
      <c r="W264" s="329"/>
      <c r="X264" s="329"/>
      <c r="Y264" s="329"/>
      <c r="Z264" s="329"/>
      <c r="AA264" s="329"/>
      <c r="AB264" s="329"/>
      <c r="AC264" s="329"/>
      <c r="AD264" s="329"/>
      <c r="AE264" s="329"/>
      <c r="AF264" s="329"/>
      <c r="AG264" s="329"/>
      <c r="AH264" s="329"/>
      <c r="AI264" s="329"/>
    </row>
    <row r="265">
      <c r="B265" s="680" t="s">
        <v>2799</v>
      </c>
      <c r="C265" s="592" t="s">
        <v>4052</v>
      </c>
      <c r="D265" s="681" t="s">
        <v>4051</v>
      </c>
      <c r="E265" s="682"/>
      <c r="F265" s="713"/>
      <c r="G265" s="588">
        <v>628.0</v>
      </c>
      <c r="H265" s="588">
        <v>591.0</v>
      </c>
      <c r="I265" s="588">
        <v>1.0</v>
      </c>
      <c r="J265" s="588">
        <v>1.0</v>
      </c>
      <c r="K265" s="588">
        <v>1.0</v>
      </c>
      <c r="L265" s="329"/>
      <c r="M265" s="329"/>
      <c r="N265" s="329"/>
      <c r="O265" s="329"/>
      <c r="P265" s="329"/>
      <c r="Q265" s="329"/>
      <c r="R265" s="329"/>
      <c r="S265" s="588"/>
      <c r="T265" s="588"/>
      <c r="U265" s="588" t="str">
        <f t="shared" si="1"/>
        <v/>
      </c>
      <c r="V265" s="329"/>
      <c r="W265" s="329"/>
      <c r="X265" s="329"/>
      <c r="Y265" s="329"/>
      <c r="Z265" s="329"/>
      <c r="AA265" s="329"/>
      <c r="AB265" s="329"/>
      <c r="AC265" s="329"/>
      <c r="AD265" s="329"/>
      <c r="AE265" s="329"/>
      <c r="AF265" s="329"/>
      <c r="AG265" s="329"/>
      <c r="AH265" s="329"/>
      <c r="AI265" s="329"/>
    </row>
    <row r="266">
      <c r="B266" s="680" t="s">
        <v>2794</v>
      </c>
      <c r="C266" s="592" t="s">
        <v>4054</v>
      </c>
      <c r="D266" s="681" t="s">
        <v>4053</v>
      </c>
      <c r="E266" s="682"/>
      <c r="F266" s="713"/>
      <c r="G266" s="588">
        <v>987.0</v>
      </c>
      <c r="H266" s="588">
        <v>796.0</v>
      </c>
      <c r="I266" s="588">
        <v>1.0</v>
      </c>
      <c r="J266" s="329"/>
      <c r="K266" s="588">
        <v>1.0</v>
      </c>
      <c r="L266" s="329"/>
      <c r="M266" s="329"/>
      <c r="N266" s="329"/>
      <c r="O266" s="588">
        <v>1.0</v>
      </c>
      <c r="P266" s="329"/>
      <c r="Q266" s="329"/>
      <c r="R266" s="588">
        <v>1.0</v>
      </c>
      <c r="S266" s="588"/>
      <c r="T266" s="588">
        <v>1.0</v>
      </c>
      <c r="U266" s="588" t="str">
        <f t="shared" si="1"/>
        <v/>
      </c>
      <c r="V266" s="329"/>
      <c r="W266" s="329"/>
      <c r="X266" s="329"/>
      <c r="Y266" s="329"/>
      <c r="Z266" s="329"/>
      <c r="AA266" s="329"/>
      <c r="AB266" s="329"/>
      <c r="AC266" s="329"/>
      <c r="AD266" s="329"/>
      <c r="AE266" s="329"/>
      <c r="AF266" s="329"/>
      <c r="AG266" s="329"/>
      <c r="AH266" s="329"/>
      <c r="AI266" s="329"/>
    </row>
    <row r="267">
      <c r="B267" s="680" t="s">
        <v>2789</v>
      </c>
      <c r="C267" s="592" t="s">
        <v>4056</v>
      </c>
      <c r="D267" s="681" t="s">
        <v>4055</v>
      </c>
      <c r="E267" s="682"/>
      <c r="F267" s="713"/>
      <c r="G267" s="588">
        <v>1258.0</v>
      </c>
      <c r="H267" s="588">
        <v>1347.0</v>
      </c>
      <c r="I267" s="588">
        <v>1.0</v>
      </c>
      <c r="J267" s="588">
        <v>1.0</v>
      </c>
      <c r="K267" s="588">
        <v>1.0</v>
      </c>
      <c r="L267" s="329"/>
      <c r="M267" s="329"/>
      <c r="N267" s="329"/>
      <c r="O267" s="329"/>
      <c r="P267" s="329"/>
      <c r="Q267" s="329"/>
      <c r="R267" s="588">
        <v>1.0</v>
      </c>
      <c r="S267" s="588"/>
      <c r="T267" s="588">
        <v>1.0</v>
      </c>
      <c r="U267" s="588" t="str">
        <f t="shared" si="1"/>
        <v/>
      </c>
      <c r="V267" s="329"/>
      <c r="W267" s="329"/>
      <c r="X267" s="329"/>
      <c r="Y267" s="329"/>
      <c r="Z267" s="329"/>
      <c r="AA267" s="329"/>
      <c r="AB267" s="329"/>
      <c r="AC267" s="329"/>
      <c r="AD267" s="329"/>
      <c r="AE267" s="329"/>
      <c r="AF267" s="329"/>
      <c r="AG267" s="329"/>
      <c r="AH267" s="329"/>
      <c r="AI267" s="329"/>
    </row>
    <row r="268">
      <c r="B268" s="680" t="s">
        <v>2784</v>
      </c>
      <c r="C268" s="592" t="s">
        <v>4058</v>
      </c>
      <c r="D268" s="681" t="s">
        <v>4057</v>
      </c>
      <c r="E268" s="683" t="s">
        <v>1263</v>
      </c>
      <c r="F268" s="712"/>
      <c r="G268" s="588">
        <v>505.0</v>
      </c>
      <c r="H268" s="588">
        <v>66.0</v>
      </c>
      <c r="I268" s="588">
        <v>1.0</v>
      </c>
      <c r="J268" s="329"/>
      <c r="K268" s="329"/>
      <c r="L268" s="329"/>
      <c r="M268" s="329"/>
      <c r="N268" s="329"/>
      <c r="O268" s="329"/>
      <c r="P268" s="329"/>
      <c r="Q268" s="329"/>
      <c r="R268" s="588">
        <v>1.0</v>
      </c>
      <c r="S268" s="588">
        <v>1.0</v>
      </c>
      <c r="T268" s="588">
        <v>1.0</v>
      </c>
      <c r="U268" s="588" t="str">
        <f t="shared" si="1"/>
        <v/>
      </c>
      <c r="V268" s="588">
        <v>1.0</v>
      </c>
      <c r="W268" s="329"/>
      <c r="X268" s="329"/>
      <c r="Y268" s="329"/>
      <c r="Z268" s="329"/>
      <c r="AA268" s="329"/>
      <c r="AB268" s="329"/>
      <c r="AC268" s="329"/>
      <c r="AD268" s="329"/>
      <c r="AE268" s="329"/>
      <c r="AF268" s="329"/>
      <c r="AG268" s="329"/>
      <c r="AH268" s="329"/>
      <c r="AI268" s="329"/>
    </row>
    <row r="269">
      <c r="A269" s="669" t="s">
        <v>2734</v>
      </c>
      <c r="B269" s="714" t="s">
        <v>2776</v>
      </c>
      <c r="C269" s="438"/>
      <c r="D269" s="715" t="s">
        <v>166</v>
      </c>
      <c r="E269" s="673"/>
      <c r="F269" s="710" t="s">
        <v>4496</v>
      </c>
      <c r="G269" s="438"/>
      <c r="H269" s="438"/>
      <c r="I269" s="564"/>
      <c r="J269" s="564"/>
      <c r="K269" s="564"/>
      <c r="L269" s="564"/>
      <c r="M269" s="564"/>
      <c r="N269" s="564"/>
      <c r="O269" s="564"/>
      <c r="P269" s="564"/>
      <c r="Q269" s="564"/>
      <c r="R269" s="564"/>
      <c r="S269" s="438"/>
      <c r="T269" s="438"/>
      <c r="U269" s="438"/>
      <c r="V269" s="564"/>
      <c r="W269" s="564"/>
      <c r="X269" s="564"/>
      <c r="Y269" s="564"/>
      <c r="Z269" s="564"/>
      <c r="AA269" s="564"/>
      <c r="AB269" s="564"/>
      <c r="AC269" s="564"/>
      <c r="AD269" s="564"/>
      <c r="AE269" s="564"/>
      <c r="AF269" s="564"/>
      <c r="AG269" s="564"/>
      <c r="AH269" s="564"/>
      <c r="AI269" s="564"/>
    </row>
    <row r="270">
      <c r="B270" s="670" t="s">
        <v>2770</v>
      </c>
      <c r="C270" s="568" t="s">
        <v>4059</v>
      </c>
      <c r="D270" s="671" t="s">
        <v>3968</v>
      </c>
      <c r="E270" s="673" t="s">
        <v>3728</v>
      </c>
      <c r="F270" s="710"/>
      <c r="G270" s="438">
        <v>731.0</v>
      </c>
      <c r="H270" s="438">
        <v>148.0</v>
      </c>
      <c r="I270" s="564"/>
      <c r="J270" s="564"/>
      <c r="K270" s="564"/>
      <c r="L270" s="564"/>
      <c r="M270" s="564"/>
      <c r="N270" s="564"/>
      <c r="O270" s="564"/>
      <c r="P270" s="564"/>
      <c r="Q270" s="564"/>
      <c r="R270" s="564"/>
      <c r="S270" s="438"/>
      <c r="T270" s="438"/>
      <c r="U270" s="438" t="str">
        <f>if(C270 = "No fork...", 1,)</f>
        <v/>
      </c>
      <c r="V270" s="564"/>
      <c r="W270" s="564"/>
      <c r="X270" s="564"/>
      <c r="Y270" s="564"/>
      <c r="Z270" s="564"/>
      <c r="AA270" s="564"/>
      <c r="AB270" s="564"/>
      <c r="AC270" s="564"/>
      <c r="AD270" s="564"/>
      <c r="AE270" s="564"/>
      <c r="AF270" s="564"/>
      <c r="AG270" s="564"/>
      <c r="AH270" s="564"/>
      <c r="AI270" s="564"/>
    </row>
    <row r="271">
      <c r="B271" s="714" t="s">
        <v>2769</v>
      </c>
      <c r="C271" s="438"/>
      <c r="D271" s="715" t="s">
        <v>631</v>
      </c>
      <c r="E271" s="673"/>
      <c r="F271" s="710" t="s">
        <v>4496</v>
      </c>
      <c r="G271" s="438"/>
      <c r="H271" s="438"/>
      <c r="I271" s="564"/>
      <c r="J271" s="564"/>
      <c r="K271" s="564"/>
      <c r="L271" s="564"/>
      <c r="M271" s="564"/>
      <c r="N271" s="564"/>
      <c r="O271" s="564"/>
      <c r="P271" s="564"/>
      <c r="Q271" s="564"/>
      <c r="R271" s="564"/>
      <c r="S271" s="438"/>
      <c r="T271" s="438"/>
      <c r="U271" s="438"/>
      <c r="V271" s="564"/>
      <c r="W271" s="564"/>
      <c r="X271" s="564"/>
      <c r="Y271" s="438" t="s">
        <v>4541</v>
      </c>
      <c r="Z271" s="564"/>
      <c r="AA271" s="564"/>
      <c r="AB271" s="564"/>
      <c r="AC271" s="564"/>
      <c r="AD271" s="564"/>
      <c r="AE271" s="564"/>
      <c r="AF271" s="564"/>
      <c r="AG271" s="564"/>
      <c r="AH271" s="564"/>
      <c r="AI271" s="564"/>
    </row>
    <row r="272">
      <c r="B272" s="670" t="s">
        <v>2763</v>
      </c>
      <c r="C272" s="568" t="s">
        <v>4061</v>
      </c>
      <c r="D272" s="671" t="s">
        <v>4060</v>
      </c>
      <c r="E272" s="673" t="s">
        <v>3728</v>
      </c>
      <c r="F272" s="710"/>
      <c r="G272" s="438">
        <v>300.0</v>
      </c>
      <c r="H272" s="438">
        <v>208.0</v>
      </c>
      <c r="I272" s="564"/>
      <c r="J272" s="564"/>
      <c r="K272" s="564"/>
      <c r="L272" s="564"/>
      <c r="M272" s="564"/>
      <c r="N272" s="564"/>
      <c r="O272" s="564"/>
      <c r="P272" s="564"/>
      <c r="Q272" s="564"/>
      <c r="R272" s="564"/>
      <c r="S272" s="438"/>
      <c r="T272" s="438"/>
      <c r="U272" s="438" t="str">
        <f t="shared" ref="U272:U310" si="2">if(C272 = "No fork...", 1,)</f>
        <v/>
      </c>
      <c r="V272" s="564"/>
      <c r="W272" s="564"/>
      <c r="X272" s="564"/>
      <c r="Y272" s="564"/>
      <c r="Z272" s="564"/>
      <c r="AA272" s="564"/>
      <c r="AB272" s="564"/>
      <c r="AC272" s="564"/>
      <c r="AD272" s="564"/>
      <c r="AE272" s="564"/>
      <c r="AF272" s="564"/>
      <c r="AG272" s="564"/>
      <c r="AH272" s="564"/>
      <c r="AI272" s="564"/>
    </row>
    <row r="273">
      <c r="B273" s="670" t="s">
        <v>2757</v>
      </c>
      <c r="C273" s="568" t="s">
        <v>4064</v>
      </c>
      <c r="D273" s="671" t="s">
        <v>4062</v>
      </c>
      <c r="E273" s="672"/>
      <c r="F273" s="710" t="s">
        <v>4260</v>
      </c>
      <c r="G273" s="438">
        <v>580.0</v>
      </c>
      <c r="H273" s="438">
        <v>426.0</v>
      </c>
      <c r="I273" s="438">
        <v>1.0</v>
      </c>
      <c r="J273" s="438">
        <v>1.0</v>
      </c>
      <c r="K273" s="438">
        <v>1.0</v>
      </c>
      <c r="L273" s="438">
        <v>1.0</v>
      </c>
      <c r="M273" s="564"/>
      <c r="N273" s="438">
        <v>1.0</v>
      </c>
      <c r="O273" s="564"/>
      <c r="P273" s="564"/>
      <c r="Q273" s="564"/>
      <c r="R273" s="438">
        <v>1.0</v>
      </c>
      <c r="S273" s="438"/>
      <c r="T273" s="438"/>
      <c r="U273" s="438" t="str">
        <f t="shared" si="2"/>
        <v/>
      </c>
      <c r="V273" s="564"/>
      <c r="W273" s="564"/>
      <c r="X273" s="564"/>
      <c r="Y273" s="564"/>
      <c r="Z273" s="564"/>
      <c r="AA273" s="564"/>
      <c r="AB273" s="564"/>
      <c r="AC273" s="564"/>
      <c r="AD273" s="564"/>
      <c r="AE273" s="564"/>
      <c r="AF273" s="564"/>
      <c r="AG273" s="564"/>
      <c r="AH273" s="564"/>
      <c r="AI273" s="564"/>
    </row>
    <row r="274">
      <c r="B274" s="670" t="s">
        <v>2751</v>
      </c>
      <c r="C274" s="568" t="s">
        <v>4067</v>
      </c>
      <c r="D274" s="671" t="s">
        <v>4065</v>
      </c>
      <c r="E274" s="672"/>
      <c r="F274" s="710" t="s">
        <v>4260</v>
      </c>
      <c r="G274" s="438">
        <v>59636.0</v>
      </c>
      <c r="H274" s="438">
        <v>144.0</v>
      </c>
      <c r="I274" s="438">
        <v>1.0</v>
      </c>
      <c r="J274" s="438">
        <v>1.0</v>
      </c>
      <c r="K274" s="438">
        <v>1.0</v>
      </c>
      <c r="L274" s="438">
        <v>1.0</v>
      </c>
      <c r="M274" s="564"/>
      <c r="N274" s="564"/>
      <c r="O274" s="564"/>
      <c r="P274" s="564"/>
      <c r="Q274" s="564"/>
      <c r="R274" s="564"/>
      <c r="S274" s="438"/>
      <c r="T274" s="438">
        <v>1.0</v>
      </c>
      <c r="U274" s="438" t="str">
        <f t="shared" si="2"/>
        <v/>
      </c>
      <c r="V274" s="438">
        <v>1.0</v>
      </c>
      <c r="W274" s="438"/>
      <c r="X274" s="564"/>
      <c r="Y274" s="564"/>
      <c r="Z274" s="564"/>
      <c r="AA274" s="564"/>
      <c r="AB274" s="564"/>
      <c r="AC274" s="564"/>
      <c r="AD274" s="564"/>
      <c r="AE274" s="564"/>
      <c r="AF274" s="564"/>
      <c r="AG274" s="564"/>
      <c r="AH274" s="564"/>
      <c r="AI274" s="564"/>
    </row>
    <row r="275">
      <c r="B275" s="670" t="s">
        <v>2738</v>
      </c>
      <c r="C275" s="568" t="s">
        <v>4070</v>
      </c>
      <c r="D275" s="671" t="s">
        <v>4068</v>
      </c>
      <c r="E275" s="673" t="s">
        <v>3728</v>
      </c>
      <c r="F275" s="710"/>
      <c r="G275" s="438">
        <v>622.0</v>
      </c>
      <c r="H275" s="438">
        <v>36.0</v>
      </c>
      <c r="I275" s="564"/>
      <c r="J275" s="564"/>
      <c r="K275" s="564"/>
      <c r="L275" s="564"/>
      <c r="M275" s="564"/>
      <c r="N275" s="564"/>
      <c r="O275" s="564"/>
      <c r="P275" s="564"/>
      <c r="Q275" s="564"/>
      <c r="R275" s="564"/>
      <c r="S275" s="438"/>
      <c r="T275" s="438"/>
      <c r="U275" s="438" t="str">
        <f t="shared" si="2"/>
        <v/>
      </c>
      <c r="V275" s="564"/>
      <c r="W275" s="564"/>
      <c r="X275" s="564"/>
      <c r="Y275" s="564"/>
      <c r="Z275" s="564"/>
      <c r="AA275" s="564"/>
      <c r="AB275" s="564"/>
      <c r="AC275" s="564"/>
      <c r="AD275" s="564"/>
      <c r="AE275" s="564"/>
      <c r="AF275" s="564"/>
      <c r="AG275" s="564"/>
      <c r="AH275" s="564"/>
      <c r="AI275" s="564"/>
    </row>
    <row r="276">
      <c r="A276" s="684" t="s">
        <v>2909</v>
      </c>
      <c r="B276" s="685" t="s">
        <v>3002</v>
      </c>
      <c r="C276" s="603" t="s">
        <v>4072</v>
      </c>
      <c r="D276" s="686" t="s">
        <v>4071</v>
      </c>
      <c r="E276" s="687"/>
      <c r="F276" s="716"/>
      <c r="G276" s="598">
        <v>1059.0</v>
      </c>
      <c r="H276" s="598">
        <v>757.0</v>
      </c>
      <c r="I276" s="598">
        <v>1.0</v>
      </c>
      <c r="J276" s="598">
        <v>1.0</v>
      </c>
      <c r="K276" s="598">
        <v>1.0</v>
      </c>
      <c r="L276" s="598">
        <v>1.0</v>
      </c>
      <c r="M276" s="597"/>
      <c r="N276" s="597"/>
      <c r="O276" s="598">
        <v>1.0</v>
      </c>
      <c r="P276" s="597"/>
      <c r="Q276" s="597"/>
      <c r="R276" s="598">
        <v>1.0</v>
      </c>
      <c r="S276" s="598"/>
      <c r="T276" s="598"/>
      <c r="U276" s="598" t="str">
        <f t="shared" si="2"/>
        <v/>
      </c>
      <c r="V276" s="597"/>
      <c r="W276" s="597"/>
      <c r="X276" s="597"/>
      <c r="Y276" s="597"/>
      <c r="Z276" s="597"/>
      <c r="AA276" s="597"/>
      <c r="AB276" s="597"/>
      <c r="AC276" s="597"/>
      <c r="AD276" s="597"/>
      <c r="AE276" s="597"/>
      <c r="AF276" s="597"/>
      <c r="AG276" s="597"/>
      <c r="AH276" s="597"/>
      <c r="AI276" s="597"/>
    </row>
    <row r="277">
      <c r="B277" s="685" t="s">
        <v>2996</v>
      </c>
      <c r="C277" s="603" t="s">
        <v>4074</v>
      </c>
      <c r="D277" s="686" t="s">
        <v>4073</v>
      </c>
      <c r="E277" s="688" t="s">
        <v>3728</v>
      </c>
      <c r="F277" s="717"/>
      <c r="G277" s="598">
        <v>202.0</v>
      </c>
      <c r="H277" s="598">
        <v>78.0</v>
      </c>
      <c r="I277" s="597"/>
      <c r="J277" s="597"/>
      <c r="K277" s="597"/>
      <c r="L277" s="597"/>
      <c r="M277" s="597"/>
      <c r="N277" s="597"/>
      <c r="O277" s="597"/>
      <c r="P277" s="597"/>
      <c r="Q277" s="597"/>
      <c r="R277" s="597"/>
      <c r="S277" s="598"/>
      <c r="T277" s="598"/>
      <c r="U277" s="598" t="str">
        <f t="shared" si="2"/>
        <v/>
      </c>
      <c r="V277" s="597"/>
      <c r="W277" s="597"/>
      <c r="X277" s="597"/>
      <c r="Y277" s="597"/>
      <c r="Z277" s="597"/>
      <c r="AA277" s="597"/>
      <c r="AB277" s="597"/>
      <c r="AC277" s="597"/>
      <c r="AD277" s="597"/>
      <c r="AE277" s="597"/>
      <c r="AF277" s="597"/>
      <c r="AG277" s="597"/>
      <c r="AH277" s="597"/>
      <c r="AI277" s="597"/>
    </row>
    <row r="278">
      <c r="B278" s="685" t="s">
        <v>2992</v>
      </c>
      <c r="C278" s="603" t="s">
        <v>4077</v>
      </c>
      <c r="D278" s="686" t="s">
        <v>4075</v>
      </c>
      <c r="E278" s="687"/>
      <c r="F278" s="718" t="s">
        <v>4540</v>
      </c>
      <c r="G278" s="598">
        <v>334.0</v>
      </c>
      <c r="H278" s="598">
        <v>364.0</v>
      </c>
      <c r="I278" s="598">
        <v>1.0</v>
      </c>
      <c r="J278" s="597"/>
      <c r="K278" s="598">
        <v>1.0</v>
      </c>
      <c r="L278" s="597"/>
      <c r="M278" s="597"/>
      <c r="N278" s="597"/>
      <c r="O278" s="597"/>
      <c r="P278" s="597"/>
      <c r="Q278" s="597"/>
      <c r="R278" s="598">
        <v>1.0</v>
      </c>
      <c r="S278" s="598">
        <v>1.0</v>
      </c>
      <c r="T278" s="598"/>
      <c r="U278" s="598" t="str">
        <f t="shared" si="2"/>
        <v/>
      </c>
      <c r="V278" s="598">
        <v>1.0</v>
      </c>
      <c r="W278" s="598"/>
      <c r="X278" s="597"/>
      <c r="Y278" s="597"/>
      <c r="Z278" s="597"/>
      <c r="AA278" s="597"/>
      <c r="AB278" s="597"/>
      <c r="AC278" s="597"/>
      <c r="AD278" s="597"/>
      <c r="AE278" s="597"/>
      <c r="AF278" s="597"/>
      <c r="AG278" s="597"/>
      <c r="AH278" s="597"/>
      <c r="AI278" s="597"/>
    </row>
    <row r="279">
      <c r="B279" s="685" t="s">
        <v>2987</v>
      </c>
      <c r="C279" s="603" t="s">
        <v>4079</v>
      </c>
      <c r="D279" s="686" t="s">
        <v>4078</v>
      </c>
      <c r="E279" s="688" t="s">
        <v>3728</v>
      </c>
      <c r="F279" s="717"/>
      <c r="G279" s="598">
        <v>2.0</v>
      </c>
      <c r="H279" s="598">
        <v>9.0</v>
      </c>
      <c r="I279" s="597"/>
      <c r="J279" s="597"/>
      <c r="K279" s="597"/>
      <c r="L279" s="597"/>
      <c r="M279" s="597"/>
      <c r="N279" s="597"/>
      <c r="O279" s="597"/>
      <c r="P279" s="597"/>
      <c r="Q279" s="597"/>
      <c r="R279" s="597"/>
      <c r="S279" s="598"/>
      <c r="T279" s="598"/>
      <c r="U279" s="598" t="str">
        <f t="shared" si="2"/>
        <v/>
      </c>
      <c r="V279" s="597"/>
      <c r="W279" s="597"/>
      <c r="X279" s="597"/>
      <c r="Y279" s="597"/>
      <c r="Z279" s="597"/>
      <c r="AA279" s="597"/>
      <c r="AB279" s="597"/>
      <c r="AC279" s="597"/>
      <c r="AD279" s="597"/>
      <c r="AE279" s="597"/>
      <c r="AF279" s="597"/>
      <c r="AG279" s="597"/>
      <c r="AH279" s="597"/>
      <c r="AI279" s="597"/>
    </row>
    <row r="280">
      <c r="B280" s="685" t="s">
        <v>2981</v>
      </c>
      <c r="C280" s="603" t="s">
        <v>4081</v>
      </c>
      <c r="D280" s="686" t="s">
        <v>4080</v>
      </c>
      <c r="E280" s="687"/>
      <c r="F280" s="716"/>
      <c r="G280" s="598">
        <v>324.0</v>
      </c>
      <c r="H280" s="598">
        <v>436.0</v>
      </c>
      <c r="I280" s="598">
        <v>1.0</v>
      </c>
      <c r="J280" s="598">
        <v>1.0</v>
      </c>
      <c r="K280" s="598">
        <v>1.0</v>
      </c>
      <c r="L280" s="598">
        <v>1.0</v>
      </c>
      <c r="M280" s="597"/>
      <c r="N280" s="597"/>
      <c r="O280" s="597"/>
      <c r="P280" s="597"/>
      <c r="Q280" s="597"/>
      <c r="R280" s="598">
        <v>1.0</v>
      </c>
      <c r="S280" s="598"/>
      <c r="T280" s="598"/>
      <c r="U280" s="598" t="str">
        <f t="shared" si="2"/>
        <v/>
      </c>
      <c r="V280" s="597"/>
      <c r="W280" s="597"/>
      <c r="X280" s="597"/>
      <c r="Y280" s="597"/>
      <c r="Z280" s="597"/>
      <c r="AA280" s="597"/>
      <c r="AB280" s="597"/>
      <c r="AC280" s="597"/>
      <c r="AD280" s="597"/>
      <c r="AE280" s="597"/>
      <c r="AF280" s="597"/>
      <c r="AG280" s="597"/>
      <c r="AH280" s="597"/>
      <c r="AI280" s="597"/>
    </row>
    <row r="281">
      <c r="B281" s="685" t="s">
        <v>2975</v>
      </c>
      <c r="C281" s="603" t="s">
        <v>4083</v>
      </c>
      <c r="D281" s="686" t="s">
        <v>4082</v>
      </c>
      <c r="E281" s="687"/>
      <c r="F281" s="716"/>
      <c r="G281" s="598">
        <v>287.0</v>
      </c>
      <c r="H281" s="598">
        <v>285.0</v>
      </c>
      <c r="I281" s="598">
        <v>1.0</v>
      </c>
      <c r="J281" s="597"/>
      <c r="K281" s="598">
        <v>1.0</v>
      </c>
      <c r="L281" s="598">
        <v>1.0</v>
      </c>
      <c r="M281" s="597"/>
      <c r="N281" s="597"/>
      <c r="O281" s="598">
        <v>1.0</v>
      </c>
      <c r="P281" s="597"/>
      <c r="Q281" s="597"/>
      <c r="R281" s="598">
        <v>1.0</v>
      </c>
      <c r="S281" s="598"/>
      <c r="T281" s="598">
        <v>1.0</v>
      </c>
      <c r="U281" s="598" t="str">
        <f t="shared" si="2"/>
        <v/>
      </c>
      <c r="V281" s="597"/>
      <c r="W281" s="597"/>
      <c r="X281" s="597"/>
      <c r="Y281" s="597"/>
      <c r="Z281" s="597"/>
      <c r="AA281" s="597"/>
      <c r="AB281" s="597"/>
      <c r="AC281" s="597"/>
      <c r="AD281" s="597"/>
      <c r="AE281" s="597"/>
      <c r="AF281" s="597"/>
      <c r="AG281" s="597"/>
      <c r="AH281" s="597"/>
      <c r="AI281" s="597"/>
    </row>
    <row r="282">
      <c r="B282" s="685" t="s">
        <v>2969</v>
      </c>
      <c r="C282" s="603" t="s">
        <v>4085</v>
      </c>
      <c r="D282" s="686" t="s">
        <v>4084</v>
      </c>
      <c r="E282" s="687"/>
      <c r="F282" s="716"/>
      <c r="G282" s="598">
        <v>3.0</v>
      </c>
      <c r="H282" s="598">
        <v>2.0</v>
      </c>
      <c r="I282" s="598">
        <v>1.0</v>
      </c>
      <c r="J282" s="597"/>
      <c r="K282" s="597"/>
      <c r="L282" s="597"/>
      <c r="M282" s="597"/>
      <c r="N282" s="597"/>
      <c r="O282" s="598">
        <v>1.0</v>
      </c>
      <c r="P282" s="597"/>
      <c r="Q282" s="597"/>
      <c r="R282" s="598">
        <v>1.0</v>
      </c>
      <c r="S282" s="598">
        <v>1.0</v>
      </c>
      <c r="T282" s="598"/>
      <c r="U282" s="598" t="str">
        <f t="shared" si="2"/>
        <v/>
      </c>
      <c r="V282" s="597"/>
      <c r="W282" s="597"/>
      <c r="X282" s="597"/>
      <c r="Y282" s="597"/>
      <c r="Z282" s="597"/>
      <c r="AA282" s="597"/>
      <c r="AB282" s="597"/>
      <c r="AC282" s="597"/>
      <c r="AD282" s="597"/>
      <c r="AE282" s="597"/>
      <c r="AF282" s="597"/>
      <c r="AG282" s="597"/>
      <c r="AH282" s="597"/>
      <c r="AI282" s="597"/>
    </row>
    <row r="283">
      <c r="B283" s="685" t="s">
        <v>2963</v>
      </c>
      <c r="C283" s="603" t="s">
        <v>4086</v>
      </c>
      <c r="D283" s="686" t="s">
        <v>4053</v>
      </c>
      <c r="E283" s="687"/>
      <c r="F283" s="716"/>
      <c r="G283" s="598">
        <v>653.0</v>
      </c>
      <c r="H283" s="598">
        <v>484.0</v>
      </c>
      <c r="I283" s="598">
        <v>1.0</v>
      </c>
      <c r="J283" s="597"/>
      <c r="K283" s="598">
        <v>1.0</v>
      </c>
      <c r="L283" s="597"/>
      <c r="M283" s="597"/>
      <c r="N283" s="597"/>
      <c r="O283" s="597"/>
      <c r="P283" s="597"/>
      <c r="Q283" s="597"/>
      <c r="R283" s="598">
        <v>1.0</v>
      </c>
      <c r="S283" s="598"/>
      <c r="T283" s="598">
        <v>1.0</v>
      </c>
      <c r="U283" s="598" t="str">
        <f t="shared" si="2"/>
        <v/>
      </c>
      <c r="V283" s="597"/>
      <c r="W283" s="597"/>
      <c r="X283" s="597"/>
      <c r="Y283" s="597"/>
      <c r="Z283" s="597"/>
      <c r="AA283" s="597"/>
      <c r="AB283" s="597"/>
      <c r="AC283" s="597"/>
      <c r="AD283" s="597"/>
      <c r="AE283" s="597"/>
      <c r="AF283" s="597"/>
      <c r="AG283" s="597"/>
      <c r="AH283" s="597"/>
      <c r="AI283" s="597"/>
    </row>
    <row r="284">
      <c r="B284" s="685" t="s">
        <v>2957</v>
      </c>
      <c r="C284" s="603" t="s">
        <v>4088</v>
      </c>
      <c r="D284" s="686" t="s">
        <v>4087</v>
      </c>
      <c r="E284" s="687"/>
      <c r="F284" s="716"/>
      <c r="G284" s="598">
        <v>1162.0</v>
      </c>
      <c r="H284" s="598">
        <v>1334.0</v>
      </c>
      <c r="I284" s="598">
        <v>1.0</v>
      </c>
      <c r="J284" s="597"/>
      <c r="K284" s="598">
        <v>1.0</v>
      </c>
      <c r="L284" s="598">
        <v>1.0</v>
      </c>
      <c r="M284" s="597"/>
      <c r="N284" s="597"/>
      <c r="O284" s="598">
        <v>1.0</v>
      </c>
      <c r="P284" s="597"/>
      <c r="Q284" s="597"/>
      <c r="R284" s="598">
        <v>1.0</v>
      </c>
      <c r="S284" s="598"/>
      <c r="T284" s="598">
        <v>1.0</v>
      </c>
      <c r="U284" s="598" t="str">
        <f t="shared" si="2"/>
        <v/>
      </c>
      <c r="V284" s="597"/>
      <c r="W284" s="597"/>
      <c r="X284" s="597"/>
      <c r="Y284" s="597"/>
      <c r="Z284" s="597"/>
      <c r="AA284" s="597"/>
      <c r="AB284" s="597"/>
      <c r="AC284" s="597"/>
      <c r="AD284" s="597"/>
      <c r="AE284" s="597"/>
      <c r="AF284" s="597"/>
      <c r="AG284" s="597"/>
      <c r="AH284" s="597"/>
      <c r="AI284" s="597"/>
    </row>
    <row r="285">
      <c r="B285" s="685" t="s">
        <v>2951</v>
      </c>
      <c r="C285" s="603" t="s">
        <v>4091</v>
      </c>
      <c r="D285" s="686" t="s">
        <v>4089</v>
      </c>
      <c r="E285" s="688" t="s">
        <v>3728</v>
      </c>
      <c r="F285" s="717"/>
      <c r="G285" s="598">
        <v>431.0</v>
      </c>
      <c r="H285" s="598">
        <v>526.0</v>
      </c>
      <c r="I285" s="597"/>
      <c r="J285" s="597"/>
      <c r="K285" s="597"/>
      <c r="L285" s="597"/>
      <c r="M285" s="597"/>
      <c r="N285" s="597"/>
      <c r="O285" s="597"/>
      <c r="P285" s="597"/>
      <c r="Q285" s="597"/>
      <c r="R285" s="597"/>
      <c r="S285" s="598"/>
      <c r="T285" s="598"/>
      <c r="U285" s="598" t="str">
        <f t="shared" si="2"/>
        <v/>
      </c>
      <c r="V285" s="598">
        <v>1.0</v>
      </c>
      <c r="W285" s="598"/>
      <c r="X285" s="597"/>
      <c r="Y285" s="597"/>
      <c r="Z285" s="597"/>
      <c r="AA285" s="597"/>
      <c r="AB285" s="597"/>
      <c r="AC285" s="597"/>
      <c r="AD285" s="597"/>
      <c r="AE285" s="597"/>
      <c r="AF285" s="597"/>
      <c r="AG285" s="597"/>
      <c r="AH285" s="597"/>
      <c r="AI285" s="597"/>
    </row>
    <row r="286">
      <c r="B286" s="685" t="s">
        <v>2945</v>
      </c>
      <c r="C286" s="603" t="s">
        <v>4093</v>
      </c>
      <c r="D286" s="686" t="s">
        <v>4092</v>
      </c>
      <c r="E286" s="688" t="s">
        <v>3728</v>
      </c>
      <c r="F286" s="717"/>
      <c r="G286" s="598">
        <v>0.0</v>
      </c>
      <c r="H286" s="598">
        <v>0.0</v>
      </c>
      <c r="I286" s="597"/>
      <c r="J286" s="597"/>
      <c r="K286" s="597"/>
      <c r="L286" s="597"/>
      <c r="M286" s="597"/>
      <c r="N286" s="597"/>
      <c r="O286" s="597"/>
      <c r="P286" s="597"/>
      <c r="Q286" s="597"/>
      <c r="R286" s="597"/>
      <c r="S286" s="598"/>
      <c r="T286" s="598"/>
      <c r="U286" s="598" t="str">
        <f t="shared" si="2"/>
        <v/>
      </c>
      <c r="V286" s="597"/>
      <c r="W286" s="597"/>
      <c r="X286" s="597"/>
      <c r="Y286" s="597"/>
      <c r="Z286" s="597"/>
      <c r="AA286" s="597"/>
      <c r="AB286" s="597"/>
      <c r="AC286" s="597"/>
      <c r="AD286" s="597"/>
      <c r="AE286" s="597"/>
      <c r="AF286" s="597"/>
      <c r="AG286" s="597"/>
      <c r="AH286" s="597"/>
      <c r="AI286" s="597"/>
    </row>
    <row r="287">
      <c r="B287" s="685" t="s">
        <v>2940</v>
      </c>
      <c r="C287" s="603" t="s">
        <v>4095</v>
      </c>
      <c r="D287" s="686" t="s">
        <v>4094</v>
      </c>
      <c r="E287" s="688" t="s">
        <v>3728</v>
      </c>
      <c r="F287" s="717"/>
      <c r="G287" s="598">
        <v>293.0</v>
      </c>
      <c r="H287" s="598">
        <v>63.0</v>
      </c>
      <c r="I287" s="597"/>
      <c r="J287" s="597"/>
      <c r="K287" s="597"/>
      <c r="L287" s="597"/>
      <c r="M287" s="597"/>
      <c r="N287" s="597"/>
      <c r="O287" s="597"/>
      <c r="P287" s="597"/>
      <c r="Q287" s="597"/>
      <c r="R287" s="597"/>
      <c r="S287" s="598"/>
      <c r="T287" s="598"/>
      <c r="U287" s="598" t="str">
        <f t="shared" si="2"/>
        <v/>
      </c>
      <c r="V287" s="597"/>
      <c r="W287" s="597"/>
      <c r="X287" s="597"/>
      <c r="Y287" s="597"/>
      <c r="Z287" s="597"/>
      <c r="AA287" s="597"/>
      <c r="AB287" s="597"/>
      <c r="AC287" s="597"/>
      <c r="AD287" s="597"/>
      <c r="AE287" s="597"/>
      <c r="AF287" s="597"/>
      <c r="AG287" s="597"/>
      <c r="AH287" s="597"/>
      <c r="AI287" s="597"/>
    </row>
    <row r="288">
      <c r="B288" s="685" t="s">
        <v>2934</v>
      </c>
      <c r="C288" s="603" t="s">
        <v>4097</v>
      </c>
      <c r="D288" s="686" t="s">
        <v>4096</v>
      </c>
      <c r="E288" s="688" t="s">
        <v>3728</v>
      </c>
      <c r="F288" s="717"/>
      <c r="G288" s="598">
        <v>278.0</v>
      </c>
      <c r="H288" s="598">
        <v>270.0</v>
      </c>
      <c r="I288" s="597"/>
      <c r="J288" s="597"/>
      <c r="K288" s="597"/>
      <c r="L288" s="597"/>
      <c r="M288" s="597"/>
      <c r="N288" s="597"/>
      <c r="O288" s="597"/>
      <c r="P288" s="597"/>
      <c r="Q288" s="597"/>
      <c r="R288" s="597"/>
      <c r="S288" s="598"/>
      <c r="T288" s="598"/>
      <c r="U288" s="598" t="str">
        <f t="shared" si="2"/>
        <v/>
      </c>
      <c r="V288" s="597"/>
      <c r="W288" s="597"/>
      <c r="X288" s="597"/>
      <c r="Y288" s="597"/>
      <c r="Z288" s="597"/>
      <c r="AA288" s="597"/>
      <c r="AB288" s="597"/>
      <c r="AC288" s="597"/>
      <c r="AD288" s="597"/>
      <c r="AE288" s="597"/>
      <c r="AF288" s="597"/>
      <c r="AG288" s="597"/>
      <c r="AH288" s="597"/>
      <c r="AI288" s="597"/>
    </row>
    <row r="289">
      <c r="B289" s="685" t="s">
        <v>2928</v>
      </c>
      <c r="C289" s="603" t="s">
        <v>4099</v>
      </c>
      <c r="D289" s="686" t="s">
        <v>4098</v>
      </c>
      <c r="E289" s="688" t="s">
        <v>3728</v>
      </c>
      <c r="F289" s="717"/>
      <c r="G289" s="598">
        <v>23.0</v>
      </c>
      <c r="H289" s="598">
        <v>29.0</v>
      </c>
      <c r="I289" s="597"/>
      <c r="J289" s="597"/>
      <c r="K289" s="597"/>
      <c r="L289" s="597"/>
      <c r="M289" s="597"/>
      <c r="N289" s="597"/>
      <c r="O289" s="597"/>
      <c r="P289" s="597"/>
      <c r="Q289" s="597"/>
      <c r="R289" s="597"/>
      <c r="S289" s="598"/>
      <c r="T289" s="598"/>
      <c r="U289" s="598" t="str">
        <f t="shared" si="2"/>
        <v/>
      </c>
      <c r="V289" s="597"/>
      <c r="W289" s="597"/>
      <c r="X289" s="597"/>
      <c r="Y289" s="597"/>
      <c r="Z289" s="597"/>
      <c r="AA289" s="597"/>
      <c r="AB289" s="597"/>
      <c r="AC289" s="597"/>
      <c r="AD289" s="597"/>
      <c r="AE289" s="597"/>
      <c r="AF289" s="597"/>
      <c r="AG289" s="597"/>
      <c r="AH289" s="597"/>
      <c r="AI289" s="597"/>
    </row>
    <row r="290">
      <c r="B290" s="685" t="s">
        <v>2922</v>
      </c>
      <c r="C290" s="603" t="s">
        <v>4101</v>
      </c>
      <c r="D290" s="686" t="s">
        <v>4100</v>
      </c>
      <c r="E290" s="688" t="s">
        <v>3728</v>
      </c>
      <c r="F290" s="717"/>
      <c r="G290" s="598">
        <v>194.0</v>
      </c>
      <c r="H290" s="598">
        <v>262.0</v>
      </c>
      <c r="I290" s="597"/>
      <c r="J290" s="597"/>
      <c r="K290" s="597"/>
      <c r="L290" s="597"/>
      <c r="M290" s="597"/>
      <c r="N290" s="597"/>
      <c r="O290" s="597"/>
      <c r="P290" s="597"/>
      <c r="Q290" s="597"/>
      <c r="R290" s="597"/>
      <c r="S290" s="598"/>
      <c r="T290" s="598"/>
      <c r="U290" s="598" t="str">
        <f t="shared" si="2"/>
        <v/>
      </c>
      <c r="V290" s="597"/>
      <c r="W290" s="597"/>
      <c r="X290" s="597"/>
      <c r="Y290" s="597"/>
      <c r="Z290" s="597"/>
      <c r="AA290" s="597"/>
      <c r="AB290" s="597"/>
      <c r="AC290" s="597"/>
      <c r="AD290" s="597"/>
      <c r="AE290" s="597"/>
      <c r="AF290" s="597"/>
      <c r="AG290" s="597"/>
      <c r="AH290" s="597"/>
      <c r="AI290" s="597"/>
    </row>
    <row r="291">
      <c r="B291" s="685" t="s">
        <v>2916</v>
      </c>
      <c r="C291" s="603" t="s">
        <v>4103</v>
      </c>
      <c r="D291" s="686" t="s">
        <v>4102</v>
      </c>
      <c r="E291" s="687"/>
      <c r="F291" s="716"/>
      <c r="G291" s="598">
        <v>343.0</v>
      </c>
      <c r="H291" s="598">
        <v>315.0</v>
      </c>
      <c r="I291" s="598">
        <v>1.0</v>
      </c>
      <c r="J291" s="598">
        <v>1.0</v>
      </c>
      <c r="K291" s="598">
        <v>1.0</v>
      </c>
      <c r="L291" s="598">
        <v>1.0</v>
      </c>
      <c r="M291" s="597"/>
      <c r="N291" s="597"/>
      <c r="O291" s="597"/>
      <c r="P291" s="597"/>
      <c r="Q291" s="597"/>
      <c r="R291" s="598">
        <v>1.0</v>
      </c>
      <c r="S291" s="598"/>
      <c r="T291" s="598">
        <v>1.0</v>
      </c>
      <c r="U291" s="598" t="str">
        <f t="shared" si="2"/>
        <v/>
      </c>
      <c r="V291" s="597"/>
      <c r="W291" s="597"/>
      <c r="X291" s="597"/>
      <c r="Y291" s="597"/>
      <c r="Z291" s="597"/>
      <c r="AA291" s="597"/>
      <c r="AB291" s="597"/>
      <c r="AC291" s="597"/>
      <c r="AD291" s="597"/>
      <c r="AE291" s="597"/>
      <c r="AF291" s="597"/>
      <c r="AG291" s="597"/>
      <c r="AH291" s="597"/>
      <c r="AI291" s="597"/>
    </row>
    <row r="292">
      <c r="B292" s="685" t="s">
        <v>2910</v>
      </c>
      <c r="C292" s="603" t="s">
        <v>4107</v>
      </c>
      <c r="D292" s="686" t="s">
        <v>4104</v>
      </c>
      <c r="E292" s="688" t="s">
        <v>3728</v>
      </c>
      <c r="F292" s="717"/>
      <c r="G292" s="598">
        <v>213.0</v>
      </c>
      <c r="H292" s="598">
        <v>338.0</v>
      </c>
      <c r="I292" s="597"/>
      <c r="J292" s="597"/>
      <c r="K292" s="597"/>
      <c r="L292" s="597"/>
      <c r="M292" s="597"/>
      <c r="N292" s="597"/>
      <c r="O292" s="597"/>
      <c r="P292" s="597"/>
      <c r="Q292" s="597"/>
      <c r="R292" s="597"/>
      <c r="S292" s="598"/>
      <c r="T292" s="598"/>
      <c r="U292" s="598" t="str">
        <f t="shared" si="2"/>
        <v/>
      </c>
      <c r="V292" s="597"/>
      <c r="W292" s="597"/>
      <c r="X292" s="597"/>
      <c r="Y292" s="597"/>
      <c r="Z292" s="597"/>
      <c r="AA292" s="597"/>
      <c r="AB292" s="597"/>
      <c r="AC292" s="597"/>
      <c r="AD292" s="597"/>
      <c r="AE292" s="597"/>
      <c r="AF292" s="597"/>
      <c r="AG292" s="597"/>
      <c r="AH292" s="597"/>
      <c r="AI292" s="597"/>
    </row>
    <row r="293">
      <c r="A293" s="679" t="s">
        <v>2834</v>
      </c>
      <c r="B293" s="680" t="s">
        <v>2903</v>
      </c>
      <c r="C293" s="592" t="s">
        <v>4108</v>
      </c>
      <c r="D293" s="681" t="s">
        <v>3128</v>
      </c>
      <c r="E293" s="682"/>
      <c r="F293" s="712" t="s">
        <v>4260</v>
      </c>
      <c r="G293" s="588">
        <v>630.0</v>
      </c>
      <c r="H293" s="588">
        <v>63.0</v>
      </c>
      <c r="I293" s="588">
        <v>1.0</v>
      </c>
      <c r="J293" s="588">
        <v>1.0</v>
      </c>
      <c r="K293" s="329"/>
      <c r="L293" s="329"/>
      <c r="M293" s="329"/>
      <c r="N293" s="588">
        <v>1.0</v>
      </c>
      <c r="O293" s="588">
        <v>1.0</v>
      </c>
      <c r="P293" s="588">
        <v>1.0</v>
      </c>
      <c r="Q293" s="329"/>
      <c r="R293" s="588">
        <v>1.0</v>
      </c>
      <c r="S293" s="588"/>
      <c r="T293" s="588"/>
      <c r="U293" s="588" t="str">
        <f t="shared" si="2"/>
        <v/>
      </c>
      <c r="V293" s="329"/>
      <c r="W293" s="329"/>
      <c r="X293" s="329"/>
      <c r="Y293" s="329"/>
      <c r="Z293" s="329"/>
      <c r="AA293" s="329"/>
      <c r="AB293" s="329"/>
      <c r="AC293" s="329"/>
      <c r="AD293" s="329"/>
      <c r="AE293" s="329"/>
      <c r="AF293" s="329"/>
      <c r="AG293" s="329"/>
      <c r="AH293" s="329"/>
      <c r="AI293" s="329"/>
    </row>
    <row r="294">
      <c r="B294" s="680" t="s">
        <v>2897</v>
      </c>
      <c r="C294" s="592" t="s">
        <v>4111</v>
      </c>
      <c r="D294" s="681" t="s">
        <v>4109</v>
      </c>
      <c r="E294" s="682"/>
      <c r="F294" s="712" t="s">
        <v>4260</v>
      </c>
      <c r="G294" s="588">
        <v>368.0</v>
      </c>
      <c r="H294" s="588">
        <v>131.0</v>
      </c>
      <c r="I294" s="588">
        <v>1.0</v>
      </c>
      <c r="J294" s="588">
        <v>1.0</v>
      </c>
      <c r="K294" s="588">
        <v>1.0</v>
      </c>
      <c r="L294" s="588">
        <v>1.0</v>
      </c>
      <c r="M294" s="329"/>
      <c r="N294" s="588">
        <v>1.0</v>
      </c>
      <c r="O294" s="588">
        <v>1.0</v>
      </c>
      <c r="P294" s="329"/>
      <c r="Q294" s="329"/>
      <c r="R294" s="588">
        <v>1.0</v>
      </c>
      <c r="S294" s="588"/>
      <c r="T294" s="588"/>
      <c r="U294" s="588" t="str">
        <f t="shared" si="2"/>
        <v/>
      </c>
      <c r="V294" s="588">
        <v>1.0</v>
      </c>
      <c r="W294" s="588"/>
      <c r="X294" s="329"/>
      <c r="Y294" s="329"/>
      <c r="Z294" s="329"/>
      <c r="AA294" s="329"/>
      <c r="AB294" s="329"/>
      <c r="AC294" s="329"/>
      <c r="AD294" s="329"/>
      <c r="AE294" s="329"/>
      <c r="AF294" s="329"/>
      <c r="AG294" s="329"/>
      <c r="AH294" s="329"/>
      <c r="AI294" s="329"/>
    </row>
    <row r="295">
      <c r="B295" s="680" t="s">
        <v>2892</v>
      </c>
      <c r="C295" s="592" t="s">
        <v>4113</v>
      </c>
      <c r="D295" s="681" t="s">
        <v>4112</v>
      </c>
      <c r="E295" s="683" t="s">
        <v>3728</v>
      </c>
      <c r="F295" s="712"/>
      <c r="G295" s="588">
        <v>344.0</v>
      </c>
      <c r="H295" s="588">
        <v>448.0</v>
      </c>
      <c r="I295" s="329"/>
      <c r="J295" s="329"/>
      <c r="K295" s="329"/>
      <c r="L295" s="329"/>
      <c r="M295" s="329"/>
      <c r="N295" s="329"/>
      <c r="O295" s="329"/>
      <c r="P295" s="329"/>
      <c r="Q295" s="329"/>
      <c r="R295" s="329"/>
      <c r="S295" s="588"/>
      <c r="T295" s="588"/>
      <c r="U295" s="588" t="str">
        <f t="shared" si="2"/>
        <v/>
      </c>
      <c r="V295" s="329"/>
      <c r="W295" s="329"/>
      <c r="X295" s="329"/>
      <c r="Y295" s="329"/>
      <c r="Z295" s="329"/>
      <c r="AA295" s="329"/>
      <c r="AB295" s="329"/>
      <c r="AC295" s="329"/>
      <c r="AD295" s="329"/>
      <c r="AE295" s="329"/>
      <c r="AF295" s="329"/>
      <c r="AG295" s="329"/>
      <c r="AH295" s="329"/>
      <c r="AI295" s="329"/>
    </row>
    <row r="296">
      <c r="B296" s="680" t="s">
        <v>2885</v>
      </c>
      <c r="C296" s="592" t="s">
        <v>4115</v>
      </c>
      <c r="D296" s="681" t="s">
        <v>4114</v>
      </c>
      <c r="E296" s="682"/>
      <c r="F296" s="712" t="s">
        <v>4260</v>
      </c>
      <c r="G296" s="588">
        <v>174.0</v>
      </c>
      <c r="H296" s="588">
        <v>193.0</v>
      </c>
      <c r="I296" s="329"/>
      <c r="J296" s="329"/>
      <c r="K296" s="588">
        <v>1.0</v>
      </c>
      <c r="L296" s="329"/>
      <c r="M296" s="329"/>
      <c r="N296" s="329"/>
      <c r="O296" s="329"/>
      <c r="P296" s="329"/>
      <c r="Q296" s="329"/>
      <c r="R296" s="588">
        <v>1.0</v>
      </c>
      <c r="S296" s="588"/>
      <c r="T296" s="588"/>
      <c r="U296" s="588" t="str">
        <f t="shared" si="2"/>
        <v/>
      </c>
      <c r="V296" s="329"/>
      <c r="W296" s="329"/>
      <c r="X296" s="329"/>
      <c r="Y296" s="329"/>
      <c r="Z296" s="329"/>
      <c r="AA296" s="329"/>
      <c r="AB296" s="329"/>
      <c r="AC296" s="329"/>
      <c r="AD296" s="329"/>
      <c r="AE296" s="329"/>
      <c r="AF296" s="329"/>
      <c r="AG296" s="329"/>
      <c r="AH296" s="329"/>
      <c r="AI296" s="329"/>
    </row>
    <row r="297">
      <c r="B297" s="680" t="s">
        <v>2879</v>
      </c>
      <c r="C297" s="592" t="s">
        <v>4116</v>
      </c>
      <c r="D297" s="681" t="s">
        <v>3146</v>
      </c>
      <c r="E297" s="683" t="s">
        <v>3728</v>
      </c>
      <c r="F297" s="712"/>
      <c r="G297" s="588">
        <v>130.0</v>
      </c>
      <c r="H297" s="588">
        <v>57.0</v>
      </c>
      <c r="I297" s="329"/>
      <c r="J297" s="329"/>
      <c r="K297" s="329"/>
      <c r="L297" s="329"/>
      <c r="M297" s="329"/>
      <c r="N297" s="329"/>
      <c r="O297" s="329"/>
      <c r="P297" s="329"/>
      <c r="Q297" s="329"/>
      <c r="R297" s="329"/>
      <c r="S297" s="588"/>
      <c r="T297" s="588"/>
      <c r="U297" s="588" t="str">
        <f t="shared" si="2"/>
        <v/>
      </c>
      <c r="V297" s="329"/>
      <c r="W297" s="329"/>
      <c r="X297" s="329"/>
      <c r="Y297" s="329"/>
      <c r="Z297" s="329"/>
      <c r="AA297" s="329"/>
      <c r="AB297" s="329"/>
      <c r="AC297" s="329"/>
      <c r="AD297" s="329"/>
      <c r="AE297" s="329"/>
      <c r="AF297" s="329"/>
      <c r="AG297" s="329"/>
      <c r="AH297" s="329"/>
      <c r="AI297" s="329"/>
    </row>
    <row r="298">
      <c r="B298" s="680" t="s">
        <v>2873</v>
      </c>
      <c r="C298" s="592" t="s">
        <v>4118</v>
      </c>
      <c r="D298" s="681" t="s">
        <v>4117</v>
      </c>
      <c r="E298" s="682"/>
      <c r="F298" s="712" t="s">
        <v>4260</v>
      </c>
      <c r="G298" s="588">
        <v>93.0</v>
      </c>
      <c r="H298" s="588">
        <v>124.0</v>
      </c>
      <c r="I298" s="329"/>
      <c r="J298" s="329"/>
      <c r="K298" s="588">
        <v>1.0</v>
      </c>
      <c r="L298" s="329"/>
      <c r="M298" s="329"/>
      <c r="N298" s="329"/>
      <c r="O298" s="588"/>
      <c r="P298" s="588">
        <v>1.0</v>
      </c>
      <c r="Q298" s="329"/>
      <c r="R298" s="588">
        <v>1.0</v>
      </c>
      <c r="S298" s="588">
        <v>1.0</v>
      </c>
      <c r="T298" s="588"/>
      <c r="U298" s="588" t="str">
        <f t="shared" si="2"/>
        <v/>
      </c>
      <c r="V298" s="588">
        <v>1.0</v>
      </c>
      <c r="W298" s="329"/>
      <c r="X298" s="329"/>
      <c r="Y298" s="329"/>
      <c r="Z298" s="329"/>
      <c r="AA298" s="329"/>
      <c r="AB298" s="329"/>
      <c r="AC298" s="329"/>
      <c r="AD298" s="329"/>
      <c r="AE298" s="329"/>
      <c r="AF298" s="329"/>
      <c r="AG298" s="329"/>
      <c r="AH298" s="329"/>
      <c r="AI298" s="329"/>
    </row>
    <row r="299">
      <c r="B299" s="680" t="s">
        <v>2867</v>
      </c>
      <c r="C299" s="592" t="s">
        <v>4120</v>
      </c>
      <c r="D299" s="681" t="s">
        <v>4119</v>
      </c>
      <c r="E299" s="682"/>
      <c r="F299" s="712" t="s">
        <v>4260</v>
      </c>
      <c r="G299" s="588">
        <v>212.0</v>
      </c>
      <c r="H299" s="588">
        <v>47.0</v>
      </c>
      <c r="I299" s="329"/>
      <c r="J299" s="329"/>
      <c r="K299" s="588">
        <v>1.0</v>
      </c>
      <c r="L299" s="329"/>
      <c r="M299" s="329"/>
      <c r="N299" s="329"/>
      <c r="O299" s="329"/>
      <c r="P299" s="329"/>
      <c r="Q299" s="329"/>
      <c r="R299" s="588">
        <v>1.0</v>
      </c>
      <c r="S299" s="588">
        <v>1.0</v>
      </c>
      <c r="T299" s="588"/>
      <c r="U299" s="588" t="str">
        <f t="shared" si="2"/>
        <v/>
      </c>
      <c r="V299" s="329"/>
      <c r="W299" s="329"/>
      <c r="X299" s="329"/>
      <c r="Y299" s="329"/>
      <c r="Z299" s="329"/>
      <c r="AA299" s="329"/>
      <c r="AB299" s="329"/>
      <c r="AC299" s="329"/>
      <c r="AD299" s="329"/>
      <c r="AE299" s="329"/>
      <c r="AF299" s="329"/>
      <c r="AG299" s="329"/>
      <c r="AH299" s="329"/>
      <c r="AI299" s="329"/>
    </row>
    <row r="300">
      <c r="B300" s="680" t="s">
        <v>2861</v>
      </c>
      <c r="C300" s="592" t="s">
        <v>4122</v>
      </c>
      <c r="D300" s="681" t="s">
        <v>4121</v>
      </c>
      <c r="E300" s="683" t="s">
        <v>3728</v>
      </c>
      <c r="F300" s="712"/>
      <c r="G300" s="588">
        <v>152.0</v>
      </c>
      <c r="H300" s="588">
        <v>12.0</v>
      </c>
      <c r="I300" s="329"/>
      <c r="J300" s="329"/>
      <c r="K300" s="329"/>
      <c r="L300" s="329"/>
      <c r="M300" s="329"/>
      <c r="N300" s="329"/>
      <c r="O300" s="329"/>
      <c r="P300" s="329"/>
      <c r="Q300" s="329"/>
      <c r="R300" s="329"/>
      <c r="S300" s="588"/>
      <c r="T300" s="588"/>
      <c r="U300" s="588" t="str">
        <f t="shared" si="2"/>
        <v/>
      </c>
      <c r="V300" s="329"/>
      <c r="W300" s="329"/>
      <c r="X300" s="329"/>
      <c r="Y300" s="329"/>
      <c r="Z300" s="329"/>
      <c r="AA300" s="329"/>
      <c r="AB300" s="329"/>
      <c r="AC300" s="329"/>
      <c r="AD300" s="329"/>
      <c r="AE300" s="329"/>
      <c r="AF300" s="329"/>
      <c r="AG300" s="329"/>
      <c r="AH300" s="329"/>
      <c r="AI300" s="329"/>
    </row>
    <row r="301">
      <c r="B301" s="680" t="s">
        <v>2849</v>
      </c>
      <c r="C301" s="592" t="s">
        <v>4124</v>
      </c>
      <c r="D301" s="681" t="s">
        <v>4123</v>
      </c>
      <c r="E301" s="682"/>
      <c r="F301" s="712" t="s">
        <v>4260</v>
      </c>
      <c r="G301" s="588">
        <v>778.0</v>
      </c>
      <c r="H301" s="588">
        <v>184.0</v>
      </c>
      <c r="I301" s="329"/>
      <c r="J301" s="329"/>
      <c r="K301" s="588">
        <v>1.0</v>
      </c>
      <c r="L301" s="588">
        <v>1.0</v>
      </c>
      <c r="M301" s="329"/>
      <c r="N301" s="329"/>
      <c r="O301" s="329"/>
      <c r="P301" s="329"/>
      <c r="Q301" s="329"/>
      <c r="R301" s="588">
        <v>1.0</v>
      </c>
      <c r="S301" s="588"/>
      <c r="T301" s="588"/>
      <c r="U301" s="588" t="str">
        <f t="shared" si="2"/>
        <v/>
      </c>
      <c r="V301" s="329"/>
      <c r="W301" s="329"/>
      <c r="X301" s="329"/>
      <c r="Y301" s="329"/>
      <c r="Z301" s="329"/>
      <c r="AA301" s="329"/>
      <c r="AB301" s="329"/>
      <c r="AC301" s="329"/>
      <c r="AD301" s="329"/>
      <c r="AE301" s="329"/>
      <c r="AF301" s="329"/>
      <c r="AG301" s="329"/>
      <c r="AH301" s="329"/>
      <c r="AI301" s="329"/>
    </row>
    <row r="302">
      <c r="B302" s="680" t="s">
        <v>2841</v>
      </c>
      <c r="C302" s="592" t="s">
        <v>4126</v>
      </c>
      <c r="D302" s="681" t="s">
        <v>4125</v>
      </c>
      <c r="E302" s="683" t="s">
        <v>3728</v>
      </c>
      <c r="F302" s="712"/>
      <c r="G302" s="588">
        <v>662.0</v>
      </c>
      <c r="H302" s="588">
        <v>493.0</v>
      </c>
      <c r="I302" s="329"/>
      <c r="J302" s="329"/>
      <c r="K302" s="329"/>
      <c r="L302" s="329"/>
      <c r="M302" s="329"/>
      <c r="N302" s="329"/>
      <c r="O302" s="329"/>
      <c r="P302" s="329"/>
      <c r="Q302" s="329"/>
      <c r="R302" s="329"/>
      <c r="S302" s="588"/>
      <c r="T302" s="588"/>
      <c r="U302" s="588" t="str">
        <f t="shared" si="2"/>
        <v/>
      </c>
      <c r="V302" s="329"/>
      <c r="W302" s="329"/>
      <c r="X302" s="329"/>
      <c r="Y302" s="329"/>
      <c r="Z302" s="329"/>
      <c r="AA302" s="329"/>
      <c r="AB302" s="329"/>
      <c r="AC302" s="329"/>
      <c r="AD302" s="329"/>
      <c r="AE302" s="329"/>
      <c r="AF302" s="329"/>
      <c r="AG302" s="329"/>
      <c r="AH302" s="329"/>
      <c r="AI302" s="329"/>
    </row>
    <row r="303">
      <c r="B303" s="680" t="s">
        <v>2835</v>
      </c>
      <c r="C303" s="592" t="s">
        <v>4128</v>
      </c>
      <c r="D303" s="681" t="s">
        <v>4127</v>
      </c>
      <c r="E303" s="683" t="s">
        <v>3728</v>
      </c>
      <c r="F303" s="712"/>
      <c r="G303" s="588">
        <v>2028.0</v>
      </c>
      <c r="H303" s="588">
        <v>2425.0</v>
      </c>
      <c r="I303" s="329"/>
      <c r="J303" s="329"/>
      <c r="K303" s="329"/>
      <c r="L303" s="329"/>
      <c r="M303" s="329"/>
      <c r="N303" s="329"/>
      <c r="O303" s="329"/>
      <c r="P303" s="329"/>
      <c r="Q303" s="329"/>
      <c r="R303" s="329"/>
      <c r="S303" s="588"/>
      <c r="T303" s="588"/>
      <c r="U303" s="588" t="str">
        <f t="shared" si="2"/>
        <v/>
      </c>
      <c r="V303" s="329"/>
      <c r="W303" s="329"/>
      <c r="X303" s="329"/>
      <c r="Y303" s="329"/>
      <c r="Z303" s="329"/>
      <c r="AA303" s="329"/>
      <c r="AB303" s="329"/>
      <c r="AC303" s="329"/>
      <c r="AD303" s="329"/>
      <c r="AE303" s="329"/>
      <c r="AF303" s="329"/>
      <c r="AG303" s="329"/>
      <c r="AH303" s="329"/>
      <c r="AI303" s="329"/>
    </row>
    <row r="304">
      <c r="A304" s="664" t="s">
        <v>3035</v>
      </c>
      <c r="B304" s="665" t="s">
        <v>3057</v>
      </c>
      <c r="C304" s="561" t="s">
        <v>4130</v>
      </c>
      <c r="D304" s="666" t="s">
        <v>4129</v>
      </c>
      <c r="E304" s="668"/>
      <c r="F304" s="719" t="s">
        <v>4260</v>
      </c>
      <c r="G304" s="556">
        <v>1725.0</v>
      </c>
      <c r="H304" s="556">
        <v>70.0</v>
      </c>
      <c r="I304" s="555"/>
      <c r="J304" s="555"/>
      <c r="K304" s="556">
        <v>1.0</v>
      </c>
      <c r="L304" s="556">
        <v>1.0</v>
      </c>
      <c r="M304" s="555"/>
      <c r="N304" s="555"/>
      <c r="O304" s="556">
        <v>1.0</v>
      </c>
      <c r="P304" s="555"/>
      <c r="Q304" s="555"/>
      <c r="R304" s="555"/>
      <c r="S304" s="556"/>
      <c r="T304" s="556"/>
      <c r="U304" s="556" t="str">
        <f t="shared" si="2"/>
        <v/>
      </c>
      <c r="V304" s="555"/>
      <c r="W304" s="555"/>
      <c r="X304" s="555"/>
      <c r="Y304" s="555"/>
      <c r="Z304" s="555"/>
      <c r="AA304" s="555"/>
      <c r="AB304" s="555"/>
      <c r="AC304" s="555"/>
      <c r="AD304" s="555"/>
      <c r="AE304" s="555"/>
      <c r="AF304" s="555"/>
      <c r="AG304" s="555"/>
      <c r="AH304" s="555"/>
      <c r="AI304" s="555"/>
    </row>
    <row r="305">
      <c r="B305" s="665" t="s">
        <v>3052</v>
      </c>
      <c r="C305" s="561" t="s">
        <v>4133</v>
      </c>
      <c r="D305" s="666" t="s">
        <v>4131</v>
      </c>
      <c r="E305" s="667" t="s">
        <v>3728</v>
      </c>
      <c r="F305" s="708"/>
      <c r="G305" s="556">
        <v>671.0</v>
      </c>
      <c r="H305" s="556">
        <v>634.0</v>
      </c>
      <c r="I305" s="555"/>
      <c r="J305" s="555"/>
      <c r="K305" s="555"/>
      <c r="L305" s="555"/>
      <c r="M305" s="555"/>
      <c r="N305" s="555"/>
      <c r="O305" s="555"/>
      <c r="P305" s="555"/>
      <c r="Q305" s="555"/>
      <c r="R305" s="555"/>
      <c r="S305" s="556"/>
      <c r="T305" s="556"/>
      <c r="U305" s="556" t="str">
        <f t="shared" si="2"/>
        <v/>
      </c>
      <c r="V305" s="555"/>
      <c r="W305" s="555"/>
      <c r="X305" s="555"/>
      <c r="Y305" s="555"/>
      <c r="Z305" s="555"/>
      <c r="AA305" s="555"/>
      <c r="AB305" s="555"/>
      <c r="AC305" s="555"/>
      <c r="AD305" s="555"/>
      <c r="AE305" s="555"/>
      <c r="AF305" s="555"/>
      <c r="AG305" s="555"/>
      <c r="AH305" s="555"/>
      <c r="AI305" s="555"/>
    </row>
    <row r="306">
      <c r="B306" s="665" t="s">
        <v>3046</v>
      </c>
      <c r="C306" s="556" t="s">
        <v>4136</v>
      </c>
      <c r="D306" s="666" t="s">
        <v>4134</v>
      </c>
      <c r="E306" s="668"/>
      <c r="F306" s="708" t="s">
        <v>4260</v>
      </c>
      <c r="G306" s="555"/>
      <c r="H306" s="555"/>
      <c r="I306" s="555"/>
      <c r="J306" s="555"/>
      <c r="K306" s="555"/>
      <c r="L306" s="555"/>
      <c r="M306" s="555"/>
      <c r="N306" s="555"/>
      <c r="O306" s="555"/>
      <c r="P306" s="555"/>
      <c r="Q306" s="555"/>
      <c r="R306" s="555"/>
      <c r="S306" s="556"/>
      <c r="T306" s="556"/>
      <c r="U306" s="556">
        <f t="shared" si="2"/>
        <v>1</v>
      </c>
      <c r="V306" s="555"/>
      <c r="W306" s="555"/>
      <c r="X306" s="555"/>
      <c r="Y306" s="555"/>
      <c r="Z306" s="555"/>
      <c r="AA306" s="555"/>
      <c r="AB306" s="555"/>
      <c r="AC306" s="555"/>
      <c r="AD306" s="555"/>
      <c r="AE306" s="555"/>
      <c r="AF306" s="555"/>
      <c r="AG306" s="555"/>
      <c r="AH306" s="555"/>
      <c r="AI306" s="555"/>
    </row>
    <row r="307">
      <c r="B307" s="665" t="s">
        <v>3041</v>
      </c>
      <c r="C307" s="556" t="s">
        <v>4136</v>
      </c>
      <c r="D307" s="666" t="s">
        <v>4137</v>
      </c>
      <c r="E307" s="668"/>
      <c r="F307" s="719" t="s">
        <v>4260</v>
      </c>
      <c r="G307" s="555"/>
      <c r="H307" s="555"/>
      <c r="I307" s="555"/>
      <c r="J307" s="555"/>
      <c r="K307" s="555"/>
      <c r="L307" s="555"/>
      <c r="M307" s="555"/>
      <c r="N307" s="555"/>
      <c r="O307" s="555"/>
      <c r="P307" s="555"/>
      <c r="Q307" s="555"/>
      <c r="R307" s="555"/>
      <c r="S307" s="556"/>
      <c r="T307" s="556"/>
      <c r="U307" s="556">
        <f t="shared" si="2"/>
        <v>1</v>
      </c>
      <c r="V307" s="555"/>
      <c r="W307" s="555"/>
      <c r="X307" s="555"/>
      <c r="Y307" s="555"/>
      <c r="Z307" s="555"/>
      <c r="AA307" s="555"/>
      <c r="AB307" s="555"/>
      <c r="AC307" s="555"/>
      <c r="AD307" s="555"/>
      <c r="AE307" s="555"/>
      <c r="AF307" s="555"/>
      <c r="AG307" s="555"/>
      <c r="AH307" s="555"/>
      <c r="AI307" s="555"/>
    </row>
    <row r="308">
      <c r="B308" s="665" t="s">
        <v>3036</v>
      </c>
      <c r="C308" s="561" t="s">
        <v>4139</v>
      </c>
      <c r="D308" s="666" t="s">
        <v>4138</v>
      </c>
      <c r="E308" s="668"/>
      <c r="F308" s="719" t="s">
        <v>4260</v>
      </c>
      <c r="G308" s="556">
        <v>3412.0</v>
      </c>
      <c r="H308" s="556">
        <v>331.0</v>
      </c>
      <c r="I308" s="556">
        <v>1.0</v>
      </c>
      <c r="J308" s="555"/>
      <c r="K308" s="556">
        <v>1.0</v>
      </c>
      <c r="L308" s="556">
        <v>1.0</v>
      </c>
      <c r="M308" s="555"/>
      <c r="N308" s="555"/>
      <c r="O308" s="556">
        <v>1.0</v>
      </c>
      <c r="P308" s="555"/>
      <c r="Q308" s="555"/>
      <c r="R308" s="555"/>
      <c r="S308" s="556"/>
      <c r="T308" s="556"/>
      <c r="U308" s="556" t="str">
        <f t="shared" si="2"/>
        <v/>
      </c>
      <c r="V308" s="555"/>
      <c r="W308" s="555"/>
      <c r="X308" s="555"/>
      <c r="Y308" s="555"/>
      <c r="Z308" s="555"/>
      <c r="AA308" s="555"/>
      <c r="AB308" s="555"/>
      <c r="AC308" s="555"/>
      <c r="AD308" s="555"/>
      <c r="AE308" s="555"/>
      <c r="AF308" s="555"/>
      <c r="AG308" s="555"/>
      <c r="AH308" s="555"/>
      <c r="AI308" s="555"/>
    </row>
    <row r="309">
      <c r="A309" s="684" t="s">
        <v>3008</v>
      </c>
      <c r="B309" s="685" t="s">
        <v>3028</v>
      </c>
      <c r="C309" s="603" t="s">
        <v>4140</v>
      </c>
      <c r="D309" s="686" t="s">
        <v>3128</v>
      </c>
      <c r="E309" s="687"/>
      <c r="F309" s="717" t="s">
        <v>4260</v>
      </c>
      <c r="G309" s="598">
        <v>2719.0</v>
      </c>
      <c r="H309" s="598">
        <v>711.0</v>
      </c>
      <c r="I309" s="598">
        <v>1.0</v>
      </c>
      <c r="J309" s="598">
        <v>1.0</v>
      </c>
      <c r="K309" s="598">
        <v>1.0</v>
      </c>
      <c r="L309" s="598">
        <v>1.0</v>
      </c>
      <c r="M309" s="598">
        <v>1.0</v>
      </c>
      <c r="N309" s="598">
        <v>1.0</v>
      </c>
      <c r="O309" s="597"/>
      <c r="P309" s="598">
        <v>1.0</v>
      </c>
      <c r="Q309" s="597"/>
      <c r="R309" s="598">
        <v>1.0</v>
      </c>
      <c r="S309" s="598"/>
      <c r="T309" s="598">
        <v>1.0</v>
      </c>
      <c r="U309" s="598" t="str">
        <f t="shared" si="2"/>
        <v/>
      </c>
      <c r="V309" s="597"/>
      <c r="W309" s="597"/>
      <c r="X309" s="597"/>
      <c r="Y309" s="597"/>
      <c r="Z309" s="597"/>
      <c r="AA309" s="597"/>
      <c r="AB309" s="597"/>
      <c r="AC309" s="597"/>
      <c r="AD309" s="597"/>
      <c r="AE309" s="597"/>
      <c r="AF309" s="597"/>
      <c r="AG309" s="597"/>
      <c r="AH309" s="597"/>
      <c r="AI309" s="597"/>
    </row>
    <row r="310">
      <c r="B310" s="685" t="s">
        <v>3023</v>
      </c>
      <c r="C310" s="603" t="s">
        <v>4142</v>
      </c>
      <c r="D310" s="686" t="s">
        <v>4141</v>
      </c>
      <c r="E310" s="687"/>
      <c r="F310" s="717" t="s">
        <v>4260</v>
      </c>
      <c r="G310" s="598">
        <v>823.0</v>
      </c>
      <c r="H310" s="598">
        <v>468.0</v>
      </c>
      <c r="I310" s="598">
        <v>1.0</v>
      </c>
      <c r="J310" s="598">
        <v>1.0</v>
      </c>
      <c r="K310" s="598">
        <v>1.0</v>
      </c>
      <c r="L310" s="598">
        <v>1.0</v>
      </c>
      <c r="M310" s="597"/>
      <c r="N310" s="598">
        <v>1.0</v>
      </c>
      <c r="O310" s="598">
        <v>1.0</v>
      </c>
      <c r="P310" s="598">
        <v>1.0</v>
      </c>
      <c r="Q310" s="597"/>
      <c r="R310" s="598">
        <v>1.0</v>
      </c>
      <c r="S310" s="598"/>
      <c r="T310" s="598"/>
      <c r="U310" s="598" t="str">
        <f t="shared" si="2"/>
        <v/>
      </c>
      <c r="V310" s="597"/>
      <c r="W310" s="597"/>
      <c r="X310" s="597"/>
      <c r="Y310" s="597"/>
      <c r="Z310" s="597"/>
      <c r="AA310" s="597"/>
      <c r="AB310" s="597"/>
      <c r="AC310" s="597"/>
      <c r="AD310" s="597"/>
      <c r="AE310" s="597"/>
      <c r="AF310" s="597"/>
      <c r="AG310" s="597"/>
      <c r="AH310" s="597"/>
      <c r="AI310" s="597"/>
    </row>
    <row r="311">
      <c r="B311" s="685" t="s">
        <v>3016</v>
      </c>
      <c r="C311" s="603" t="s">
        <v>4139</v>
      </c>
      <c r="D311" s="686" t="s">
        <v>3017</v>
      </c>
      <c r="E311" s="687"/>
      <c r="F311" s="717" t="s">
        <v>4260</v>
      </c>
      <c r="G311" s="598">
        <v>3412.0</v>
      </c>
      <c r="H311" s="598">
        <v>331.0</v>
      </c>
      <c r="I311" s="608">
        <v>1.0</v>
      </c>
      <c r="J311" s="597"/>
      <c r="K311" s="608">
        <v>1.0</v>
      </c>
      <c r="L311" s="608">
        <v>1.0</v>
      </c>
      <c r="M311" s="597"/>
      <c r="N311" s="597"/>
      <c r="O311" s="608">
        <v>1.0</v>
      </c>
      <c r="P311" s="597"/>
      <c r="Q311" s="597"/>
      <c r="R311" s="597"/>
      <c r="S311" s="598"/>
      <c r="T311" s="598"/>
      <c r="U311" s="598"/>
      <c r="V311" s="597"/>
      <c r="W311" s="597"/>
      <c r="X311" s="597"/>
      <c r="Y311" s="597"/>
      <c r="Z311" s="597"/>
      <c r="AA311" s="597"/>
      <c r="AB311" s="597"/>
      <c r="AC311" s="597"/>
      <c r="AD311" s="597"/>
      <c r="AE311" s="597"/>
      <c r="AF311" s="597"/>
      <c r="AG311" s="597"/>
      <c r="AH311" s="597"/>
      <c r="AI311" s="597"/>
    </row>
    <row r="312">
      <c r="B312" s="685" t="s">
        <v>3009</v>
      </c>
      <c r="C312" s="608" t="s">
        <v>4136</v>
      </c>
      <c r="D312" s="686" t="s">
        <v>3010</v>
      </c>
      <c r="E312" s="687"/>
      <c r="F312" s="717" t="s">
        <v>4260</v>
      </c>
      <c r="G312" s="597"/>
      <c r="H312" s="597"/>
      <c r="I312" s="597"/>
      <c r="J312" s="597"/>
      <c r="K312" s="597"/>
      <c r="L312" s="597"/>
      <c r="M312" s="597"/>
      <c r="N312" s="597"/>
      <c r="O312" s="597"/>
      <c r="P312" s="597"/>
      <c r="Q312" s="597"/>
      <c r="R312" s="597"/>
      <c r="S312" s="598"/>
      <c r="T312" s="598"/>
      <c r="U312" s="598">
        <f t="shared" ref="U312:U413" si="3">if(C312 = "No fork...", 1,)</f>
        <v>1</v>
      </c>
      <c r="V312" s="597"/>
      <c r="W312" s="597"/>
      <c r="X312" s="597"/>
      <c r="Y312" s="597"/>
      <c r="Z312" s="597"/>
      <c r="AA312" s="597"/>
      <c r="AB312" s="597"/>
      <c r="AC312" s="597"/>
      <c r="AD312" s="597"/>
      <c r="AE312" s="597"/>
      <c r="AF312" s="597"/>
      <c r="AG312" s="597"/>
      <c r="AH312" s="597"/>
      <c r="AI312" s="597"/>
    </row>
    <row r="313">
      <c r="A313" s="651" t="s">
        <v>3155</v>
      </c>
      <c r="B313" s="525" t="s">
        <v>3215</v>
      </c>
      <c r="C313" s="533" t="s">
        <v>4145</v>
      </c>
      <c r="D313" s="526" t="s">
        <v>4144</v>
      </c>
      <c r="E313" s="652"/>
      <c r="F313" s="705"/>
      <c r="G313" s="528">
        <v>176.0</v>
      </c>
      <c r="H313" s="528">
        <v>26.0</v>
      </c>
      <c r="I313" s="527"/>
      <c r="J313" s="527"/>
      <c r="K313" s="527"/>
      <c r="L313" s="527"/>
      <c r="M313" s="527"/>
      <c r="N313" s="527"/>
      <c r="O313" s="528">
        <v>1.0</v>
      </c>
      <c r="P313" s="527"/>
      <c r="Q313" s="527"/>
      <c r="R313" s="528">
        <v>1.0</v>
      </c>
      <c r="S313" s="528"/>
      <c r="T313" s="528"/>
      <c r="U313" s="528" t="str">
        <f t="shared" si="3"/>
        <v/>
      </c>
      <c r="V313" s="527"/>
      <c r="W313" s="527"/>
      <c r="X313" s="527"/>
      <c r="Y313" s="527"/>
      <c r="Z313" s="527"/>
      <c r="AA313" s="527"/>
      <c r="AB313" s="527"/>
      <c r="AC313" s="527"/>
      <c r="AD313" s="527"/>
      <c r="AE313" s="527"/>
      <c r="AF313" s="527"/>
      <c r="AG313" s="527"/>
      <c r="AH313" s="527"/>
      <c r="AI313" s="527"/>
    </row>
    <row r="314">
      <c r="B314" s="525" t="s">
        <v>3211</v>
      </c>
      <c r="C314" s="533" t="s">
        <v>4147</v>
      </c>
      <c r="D314" s="526" t="s">
        <v>4146</v>
      </c>
      <c r="E314" s="652"/>
      <c r="F314" s="705"/>
      <c r="G314" s="528">
        <v>463.0</v>
      </c>
      <c r="H314" s="528">
        <v>433.0</v>
      </c>
      <c r="I314" s="528">
        <v>1.0</v>
      </c>
      <c r="J314" s="527"/>
      <c r="K314" s="528">
        <v>1.0</v>
      </c>
      <c r="L314" s="528">
        <v>1.0</v>
      </c>
      <c r="M314" s="527"/>
      <c r="N314" s="528">
        <v>1.0</v>
      </c>
      <c r="O314" s="528">
        <v>1.0</v>
      </c>
      <c r="P314" s="527"/>
      <c r="Q314" s="527"/>
      <c r="R314" s="527"/>
      <c r="S314" s="528"/>
      <c r="T314" s="528"/>
      <c r="U314" s="528" t="str">
        <f t="shared" si="3"/>
        <v/>
      </c>
      <c r="V314" s="527"/>
      <c r="W314" s="527"/>
      <c r="X314" s="527"/>
      <c r="Y314" s="527"/>
      <c r="Z314" s="527"/>
      <c r="AA314" s="527"/>
      <c r="AB314" s="527"/>
      <c r="AC314" s="527"/>
      <c r="AD314" s="527"/>
      <c r="AE314" s="527"/>
      <c r="AF314" s="527"/>
      <c r="AG314" s="527"/>
      <c r="AH314" s="527"/>
      <c r="AI314" s="527"/>
    </row>
    <row r="315">
      <c r="B315" s="525" t="s">
        <v>3207</v>
      </c>
      <c r="C315" s="533" t="s">
        <v>4149</v>
      </c>
      <c r="D315" s="526" t="s">
        <v>4148</v>
      </c>
      <c r="E315" s="652"/>
      <c r="F315" s="705"/>
      <c r="G315" s="528">
        <v>778.0</v>
      </c>
      <c r="H315" s="528">
        <v>285.0</v>
      </c>
      <c r="I315" s="528">
        <v>1.0</v>
      </c>
      <c r="J315" s="528">
        <v>1.0</v>
      </c>
      <c r="K315" s="528">
        <v>1.0</v>
      </c>
      <c r="L315" s="528">
        <v>1.0</v>
      </c>
      <c r="M315" s="527"/>
      <c r="N315" s="528">
        <v>1.0</v>
      </c>
      <c r="O315" s="528">
        <v>1.0</v>
      </c>
      <c r="P315" s="527"/>
      <c r="Q315" s="527"/>
      <c r="R315" s="527"/>
      <c r="S315" s="528"/>
      <c r="T315" s="528">
        <v>1.0</v>
      </c>
      <c r="U315" s="528" t="str">
        <f t="shared" si="3"/>
        <v/>
      </c>
      <c r="V315" s="527"/>
      <c r="W315" s="527"/>
      <c r="X315" s="527"/>
      <c r="Y315" s="527"/>
      <c r="Z315" s="527"/>
      <c r="AA315" s="527"/>
      <c r="AB315" s="527"/>
      <c r="AC315" s="527"/>
      <c r="AD315" s="527"/>
      <c r="AE315" s="527"/>
      <c r="AF315" s="527"/>
      <c r="AG315" s="527"/>
      <c r="AH315" s="527"/>
      <c r="AI315" s="527"/>
    </row>
    <row r="316">
      <c r="B316" s="525" t="s">
        <v>3203</v>
      </c>
      <c r="C316" s="533" t="s">
        <v>4152</v>
      </c>
      <c r="D316" s="526" t="s">
        <v>4150</v>
      </c>
      <c r="E316" s="652"/>
      <c r="F316" s="705"/>
      <c r="G316" s="528">
        <v>657.0</v>
      </c>
      <c r="H316" s="528">
        <v>212.0</v>
      </c>
      <c r="I316" s="528">
        <v>1.0</v>
      </c>
      <c r="J316" s="527"/>
      <c r="K316" s="528">
        <v>1.0</v>
      </c>
      <c r="L316" s="527"/>
      <c r="M316" s="527"/>
      <c r="N316" s="527"/>
      <c r="O316" s="528">
        <v>1.0</v>
      </c>
      <c r="P316" s="527"/>
      <c r="Q316" s="527"/>
      <c r="R316" s="528">
        <v>1.0</v>
      </c>
      <c r="S316" s="528">
        <v>1.0</v>
      </c>
      <c r="T316" s="528"/>
      <c r="U316" s="528" t="str">
        <f t="shared" si="3"/>
        <v/>
      </c>
      <c r="V316" s="527"/>
      <c r="W316" s="528"/>
      <c r="X316" s="527"/>
      <c r="Y316" s="527"/>
      <c r="Z316" s="527"/>
      <c r="AA316" s="527"/>
      <c r="AB316" s="527"/>
      <c r="AC316" s="527"/>
      <c r="AD316" s="527"/>
      <c r="AE316" s="527"/>
      <c r="AF316" s="527"/>
      <c r="AG316" s="527"/>
      <c r="AH316" s="527"/>
      <c r="AI316" s="527"/>
    </row>
    <row r="317">
      <c r="B317" s="525" t="s">
        <v>3199</v>
      </c>
      <c r="C317" s="615" t="s">
        <v>4136</v>
      </c>
      <c r="D317" s="526" t="s">
        <v>4153</v>
      </c>
      <c r="E317" s="652"/>
      <c r="F317" s="705"/>
      <c r="G317" s="527"/>
      <c r="H317" s="527"/>
      <c r="I317" s="527"/>
      <c r="J317" s="527"/>
      <c r="K317" s="527"/>
      <c r="L317" s="527"/>
      <c r="M317" s="527"/>
      <c r="N317" s="527"/>
      <c r="O317" s="527"/>
      <c r="P317" s="527"/>
      <c r="Q317" s="527"/>
      <c r="R317" s="527"/>
      <c r="S317" s="528"/>
      <c r="T317" s="528"/>
      <c r="U317" s="528">
        <f t="shared" si="3"/>
        <v>1</v>
      </c>
      <c r="V317" s="527"/>
      <c r="W317" s="527"/>
      <c r="X317" s="527"/>
      <c r="Y317" s="527"/>
      <c r="Z317" s="527"/>
      <c r="AA317" s="527"/>
      <c r="AB317" s="527"/>
      <c r="AC317" s="527"/>
      <c r="AD317" s="527"/>
      <c r="AE317" s="527"/>
      <c r="AF317" s="527"/>
      <c r="AG317" s="527"/>
      <c r="AH317" s="527"/>
      <c r="AI317" s="527"/>
    </row>
    <row r="318">
      <c r="B318" s="525" t="s">
        <v>3196</v>
      </c>
      <c r="C318" s="533" t="s">
        <v>4156</v>
      </c>
      <c r="D318" s="526" t="s">
        <v>4154</v>
      </c>
      <c r="E318" s="652"/>
      <c r="F318" s="705"/>
      <c r="G318" s="528">
        <v>1254.0</v>
      </c>
      <c r="H318" s="528">
        <v>1155.0</v>
      </c>
      <c r="I318" s="528">
        <v>1.0</v>
      </c>
      <c r="J318" s="528">
        <v>1.0</v>
      </c>
      <c r="K318" s="528">
        <v>1.0</v>
      </c>
      <c r="L318" s="527"/>
      <c r="M318" s="527"/>
      <c r="N318" s="527"/>
      <c r="O318" s="527"/>
      <c r="P318" s="527"/>
      <c r="Q318" s="527"/>
      <c r="R318" s="528">
        <v>1.0</v>
      </c>
      <c r="S318" s="528">
        <v>1.0</v>
      </c>
      <c r="T318" s="528"/>
      <c r="U318" s="528" t="str">
        <f t="shared" si="3"/>
        <v/>
      </c>
      <c r="V318" s="528">
        <v>1.0</v>
      </c>
      <c r="W318" s="528"/>
      <c r="X318" s="527"/>
      <c r="Y318" s="527"/>
      <c r="Z318" s="527"/>
      <c r="AA318" s="527"/>
      <c r="AB318" s="527"/>
      <c r="AC318" s="527"/>
      <c r="AD318" s="527"/>
      <c r="AE318" s="527"/>
      <c r="AF318" s="527"/>
      <c r="AG318" s="527"/>
      <c r="AH318" s="527"/>
      <c r="AI318" s="527"/>
    </row>
    <row r="319">
      <c r="B319" s="525" t="s">
        <v>3192</v>
      </c>
      <c r="C319" s="533" t="s">
        <v>4158</v>
      </c>
      <c r="D319" s="526" t="s">
        <v>4157</v>
      </c>
      <c r="E319" s="652"/>
      <c r="F319" s="705"/>
      <c r="G319" s="528">
        <v>318.0</v>
      </c>
      <c r="H319" s="528">
        <v>402.0</v>
      </c>
      <c r="I319" s="528">
        <v>1.0</v>
      </c>
      <c r="J319" s="527"/>
      <c r="K319" s="528">
        <v>1.0</v>
      </c>
      <c r="L319" s="527"/>
      <c r="M319" s="527"/>
      <c r="N319" s="528">
        <v>1.0</v>
      </c>
      <c r="O319" s="527"/>
      <c r="P319" s="527"/>
      <c r="Q319" s="527"/>
      <c r="R319" s="528">
        <v>1.0</v>
      </c>
      <c r="S319" s="528">
        <v>1.0</v>
      </c>
      <c r="T319" s="528"/>
      <c r="U319" s="528" t="str">
        <f t="shared" si="3"/>
        <v/>
      </c>
      <c r="V319" s="527"/>
      <c r="W319" s="527"/>
      <c r="X319" s="527"/>
      <c r="Y319" s="527"/>
      <c r="Z319" s="527"/>
      <c r="AA319" s="527"/>
      <c r="AB319" s="527"/>
      <c r="AC319" s="527"/>
      <c r="AD319" s="527"/>
      <c r="AE319" s="527"/>
      <c r="AF319" s="527"/>
      <c r="AG319" s="527"/>
      <c r="AH319" s="527"/>
      <c r="AI319" s="527"/>
    </row>
    <row r="320">
      <c r="B320" s="525" t="s">
        <v>3188</v>
      </c>
      <c r="C320" s="533" t="s">
        <v>4160</v>
      </c>
      <c r="D320" s="526" t="s">
        <v>4159</v>
      </c>
      <c r="E320" s="652"/>
      <c r="F320" s="705"/>
      <c r="G320" s="528">
        <v>581.0</v>
      </c>
      <c r="H320" s="528">
        <v>436.0</v>
      </c>
      <c r="I320" s="528">
        <v>1.0</v>
      </c>
      <c r="J320" s="527"/>
      <c r="K320" s="528">
        <v>1.0</v>
      </c>
      <c r="L320" s="527"/>
      <c r="M320" s="528">
        <v>1.0</v>
      </c>
      <c r="N320" s="527"/>
      <c r="O320" s="528">
        <v>1.0</v>
      </c>
      <c r="P320" s="527"/>
      <c r="Q320" s="527"/>
      <c r="R320" s="528">
        <v>1.0</v>
      </c>
      <c r="S320" s="528">
        <v>1.0</v>
      </c>
      <c r="T320" s="528"/>
      <c r="U320" s="528" t="str">
        <f t="shared" si="3"/>
        <v/>
      </c>
      <c r="V320" s="527"/>
      <c r="W320" s="527"/>
      <c r="X320" s="527"/>
      <c r="Y320" s="527"/>
      <c r="Z320" s="527"/>
      <c r="AA320" s="527"/>
      <c r="AB320" s="527"/>
      <c r="AC320" s="527"/>
      <c r="AD320" s="527"/>
      <c r="AE320" s="527"/>
      <c r="AF320" s="527"/>
      <c r="AG320" s="527"/>
      <c r="AH320" s="527"/>
      <c r="AI320" s="527"/>
    </row>
    <row r="321">
      <c r="B321" s="525" t="s">
        <v>3184</v>
      </c>
      <c r="C321" s="533" t="s">
        <v>4162</v>
      </c>
      <c r="D321" s="526" t="s">
        <v>4161</v>
      </c>
      <c r="E321" s="652"/>
      <c r="F321" s="705"/>
      <c r="G321" s="528">
        <v>192.0</v>
      </c>
      <c r="H321" s="528">
        <v>50.0</v>
      </c>
      <c r="I321" s="528">
        <v>1.0</v>
      </c>
      <c r="J321" s="528">
        <v>1.0</v>
      </c>
      <c r="K321" s="528">
        <v>1.0</v>
      </c>
      <c r="L321" s="528">
        <v>1.0</v>
      </c>
      <c r="M321" s="527"/>
      <c r="N321" s="528">
        <v>1.0</v>
      </c>
      <c r="O321" s="528">
        <v>1.0</v>
      </c>
      <c r="P321" s="527"/>
      <c r="Q321" s="527"/>
      <c r="R321" s="528">
        <v>1.0</v>
      </c>
      <c r="S321" s="528"/>
      <c r="T321" s="528"/>
      <c r="U321" s="528" t="str">
        <f t="shared" si="3"/>
        <v/>
      </c>
      <c r="V321" s="527"/>
      <c r="W321" s="527"/>
      <c r="X321" s="527"/>
      <c r="Y321" s="527"/>
      <c r="Z321" s="527"/>
      <c r="AA321" s="527"/>
      <c r="AB321" s="527"/>
      <c r="AC321" s="527"/>
      <c r="AD321" s="527"/>
      <c r="AE321" s="527"/>
      <c r="AF321" s="527"/>
      <c r="AG321" s="527"/>
      <c r="AH321" s="527"/>
      <c r="AI321" s="527"/>
    </row>
    <row r="322">
      <c r="B322" s="525" t="s">
        <v>3180</v>
      </c>
      <c r="C322" s="528" t="s">
        <v>4136</v>
      </c>
      <c r="D322" s="526" t="s">
        <v>4163</v>
      </c>
      <c r="E322" s="652"/>
      <c r="F322" s="705"/>
      <c r="G322" s="527"/>
      <c r="H322" s="527"/>
      <c r="I322" s="527"/>
      <c r="J322" s="527"/>
      <c r="K322" s="527"/>
      <c r="L322" s="527"/>
      <c r="M322" s="527"/>
      <c r="N322" s="527"/>
      <c r="O322" s="527"/>
      <c r="P322" s="527"/>
      <c r="Q322" s="527"/>
      <c r="R322" s="527"/>
      <c r="S322" s="528"/>
      <c r="T322" s="528"/>
      <c r="U322" s="528">
        <f t="shared" si="3"/>
        <v>1</v>
      </c>
      <c r="V322" s="527"/>
      <c r="W322" s="527"/>
      <c r="X322" s="527"/>
      <c r="Y322" s="527"/>
      <c r="Z322" s="527"/>
      <c r="AA322" s="527"/>
      <c r="AB322" s="527"/>
      <c r="AC322" s="527"/>
      <c r="AD322" s="527"/>
      <c r="AE322" s="527"/>
      <c r="AF322" s="527"/>
      <c r="AG322" s="527"/>
      <c r="AH322" s="527"/>
      <c r="AI322" s="527"/>
    </row>
    <row r="323">
      <c r="B323" s="525" t="s">
        <v>3176</v>
      </c>
      <c r="C323" s="528" t="s">
        <v>4136</v>
      </c>
      <c r="D323" s="526" t="s">
        <v>4165</v>
      </c>
      <c r="E323" s="652"/>
      <c r="F323" s="705"/>
      <c r="G323" s="527"/>
      <c r="H323" s="527"/>
      <c r="I323" s="527"/>
      <c r="J323" s="527"/>
      <c r="K323" s="527"/>
      <c r="L323" s="527"/>
      <c r="M323" s="527"/>
      <c r="N323" s="527"/>
      <c r="O323" s="527"/>
      <c r="P323" s="527"/>
      <c r="Q323" s="527"/>
      <c r="R323" s="527"/>
      <c r="S323" s="528"/>
      <c r="T323" s="528"/>
      <c r="U323" s="528">
        <f t="shared" si="3"/>
        <v>1</v>
      </c>
      <c r="V323" s="527"/>
      <c r="W323" s="527"/>
      <c r="X323" s="527"/>
      <c r="Y323" s="527"/>
      <c r="Z323" s="527"/>
      <c r="AA323" s="527"/>
      <c r="AB323" s="527"/>
      <c r="AC323" s="527"/>
      <c r="AD323" s="527"/>
      <c r="AE323" s="527"/>
      <c r="AF323" s="527"/>
      <c r="AG323" s="527"/>
      <c r="AH323" s="527"/>
      <c r="AI323" s="527"/>
    </row>
    <row r="324">
      <c r="B324" s="525" t="s">
        <v>3172</v>
      </c>
      <c r="C324" s="528" t="s">
        <v>4136</v>
      </c>
      <c r="D324" s="526" t="s">
        <v>4166</v>
      </c>
      <c r="E324" s="652"/>
      <c r="F324" s="705"/>
      <c r="G324" s="527"/>
      <c r="H324" s="527"/>
      <c r="I324" s="527"/>
      <c r="J324" s="527"/>
      <c r="K324" s="527"/>
      <c r="L324" s="527"/>
      <c r="M324" s="527"/>
      <c r="N324" s="527"/>
      <c r="O324" s="527"/>
      <c r="P324" s="527"/>
      <c r="Q324" s="527"/>
      <c r="R324" s="527"/>
      <c r="S324" s="528"/>
      <c r="T324" s="528"/>
      <c r="U324" s="528">
        <f t="shared" si="3"/>
        <v>1</v>
      </c>
      <c r="V324" s="527"/>
      <c r="W324" s="527"/>
      <c r="X324" s="527"/>
      <c r="Y324" s="527"/>
      <c r="Z324" s="527"/>
      <c r="AA324" s="527"/>
      <c r="AB324" s="527"/>
      <c r="AC324" s="527"/>
      <c r="AD324" s="527"/>
      <c r="AE324" s="527"/>
      <c r="AF324" s="527"/>
      <c r="AG324" s="527"/>
      <c r="AH324" s="527"/>
      <c r="AI324" s="527"/>
    </row>
    <row r="325">
      <c r="B325" s="525" t="s">
        <v>3168</v>
      </c>
      <c r="C325" s="528" t="s">
        <v>4136</v>
      </c>
      <c r="D325" s="526" t="s">
        <v>4167</v>
      </c>
      <c r="E325" s="652"/>
      <c r="F325" s="705"/>
      <c r="G325" s="527"/>
      <c r="H325" s="527"/>
      <c r="I325" s="527"/>
      <c r="J325" s="527"/>
      <c r="K325" s="527"/>
      <c r="L325" s="527"/>
      <c r="M325" s="527"/>
      <c r="N325" s="527"/>
      <c r="O325" s="527"/>
      <c r="P325" s="527"/>
      <c r="Q325" s="527"/>
      <c r="R325" s="527"/>
      <c r="S325" s="528"/>
      <c r="T325" s="528"/>
      <c r="U325" s="528">
        <f t="shared" si="3"/>
        <v>1</v>
      </c>
      <c r="V325" s="527"/>
      <c r="W325" s="527"/>
      <c r="X325" s="527"/>
      <c r="Y325" s="527"/>
      <c r="Z325" s="527"/>
      <c r="AA325" s="527"/>
      <c r="AB325" s="527"/>
      <c r="AC325" s="527"/>
      <c r="AD325" s="527"/>
      <c r="AE325" s="527"/>
      <c r="AF325" s="527"/>
      <c r="AG325" s="527"/>
      <c r="AH325" s="527"/>
      <c r="AI325" s="527"/>
    </row>
    <row r="326">
      <c r="B326" s="525" t="s">
        <v>3164</v>
      </c>
      <c r="C326" s="533" t="s">
        <v>4169</v>
      </c>
      <c r="D326" s="526" t="s">
        <v>4168</v>
      </c>
      <c r="E326" s="652"/>
      <c r="F326" s="705"/>
      <c r="G326" s="528">
        <v>544.0</v>
      </c>
      <c r="H326" s="528">
        <v>3733.0</v>
      </c>
      <c r="I326" s="528">
        <v>1.0</v>
      </c>
      <c r="J326" s="528">
        <v>1.0</v>
      </c>
      <c r="K326" s="528">
        <v>1.0</v>
      </c>
      <c r="L326" s="528">
        <v>1.0</v>
      </c>
      <c r="M326" s="527"/>
      <c r="N326" s="528">
        <v>1.0</v>
      </c>
      <c r="O326" s="528">
        <v>1.0</v>
      </c>
      <c r="P326" s="527"/>
      <c r="Q326" s="527"/>
      <c r="R326" s="528">
        <v>1.0</v>
      </c>
      <c r="S326" s="528"/>
      <c r="T326" s="528"/>
      <c r="U326" s="528" t="str">
        <f t="shared" si="3"/>
        <v/>
      </c>
      <c r="V326" s="527"/>
      <c r="W326" s="527"/>
      <c r="X326" s="527"/>
      <c r="Y326" s="527"/>
      <c r="Z326" s="527"/>
      <c r="AA326" s="527"/>
      <c r="AB326" s="527"/>
      <c r="AC326" s="527"/>
      <c r="AD326" s="527"/>
      <c r="AE326" s="527"/>
      <c r="AF326" s="527"/>
      <c r="AG326" s="527"/>
      <c r="AH326" s="527"/>
      <c r="AI326" s="527"/>
    </row>
    <row r="327">
      <c r="B327" s="525" t="s">
        <v>3160</v>
      </c>
      <c r="C327" s="528" t="s">
        <v>4136</v>
      </c>
      <c r="D327" s="526" t="s">
        <v>4170</v>
      </c>
      <c r="E327" s="652"/>
      <c r="F327" s="705"/>
      <c r="G327" s="527"/>
      <c r="H327" s="527"/>
      <c r="I327" s="527"/>
      <c r="J327" s="527"/>
      <c r="K327" s="527"/>
      <c r="L327" s="527"/>
      <c r="M327" s="527"/>
      <c r="N327" s="527"/>
      <c r="O327" s="527"/>
      <c r="P327" s="527"/>
      <c r="Q327" s="527"/>
      <c r="R327" s="527"/>
      <c r="S327" s="528"/>
      <c r="T327" s="528"/>
      <c r="U327" s="528">
        <f t="shared" si="3"/>
        <v>1</v>
      </c>
      <c r="V327" s="527"/>
      <c r="W327" s="527"/>
      <c r="X327" s="527"/>
      <c r="Y327" s="527"/>
      <c r="Z327" s="527"/>
      <c r="AA327" s="527"/>
      <c r="AB327" s="527"/>
      <c r="AC327" s="527"/>
      <c r="AD327" s="527"/>
      <c r="AE327" s="527"/>
      <c r="AF327" s="527"/>
      <c r="AG327" s="527"/>
      <c r="AH327" s="527"/>
      <c r="AI327" s="527"/>
    </row>
    <row r="328">
      <c r="B328" s="525" t="s">
        <v>3156</v>
      </c>
      <c r="C328" s="533" t="s">
        <v>4172</v>
      </c>
      <c r="D328" s="526" t="s">
        <v>4171</v>
      </c>
      <c r="E328" s="652"/>
      <c r="F328" s="705"/>
      <c r="G328" s="528">
        <v>6286.0</v>
      </c>
      <c r="H328" s="528">
        <v>863.0</v>
      </c>
      <c r="I328" s="528">
        <v>1.0</v>
      </c>
      <c r="J328" s="528">
        <v>1.0</v>
      </c>
      <c r="K328" s="528">
        <v>1.0</v>
      </c>
      <c r="L328" s="528">
        <v>1.0</v>
      </c>
      <c r="M328" s="527"/>
      <c r="N328" s="528">
        <v>1.0</v>
      </c>
      <c r="O328" s="527"/>
      <c r="P328" s="528">
        <v>1.0</v>
      </c>
      <c r="Q328" s="527"/>
      <c r="R328" s="528">
        <v>1.0</v>
      </c>
      <c r="S328" s="528"/>
      <c r="T328" s="528">
        <v>1.0</v>
      </c>
      <c r="U328" s="528" t="str">
        <f t="shared" si="3"/>
        <v/>
      </c>
      <c r="V328" s="527"/>
      <c r="W328" s="527"/>
      <c r="X328" s="527"/>
      <c r="Y328" s="527"/>
      <c r="Z328" s="527"/>
      <c r="AA328" s="527"/>
      <c r="AB328" s="527"/>
      <c r="AC328" s="527"/>
      <c r="AD328" s="527"/>
      <c r="AE328" s="527"/>
      <c r="AF328" s="527"/>
      <c r="AG328" s="527"/>
      <c r="AH328" s="527"/>
      <c r="AI328" s="527"/>
    </row>
    <row r="329">
      <c r="A329" s="648" t="s">
        <v>3061</v>
      </c>
      <c r="B329" s="649" t="s">
        <v>3145</v>
      </c>
      <c r="C329" s="542" t="s">
        <v>4174</v>
      </c>
      <c r="D329" s="650" t="s">
        <v>4173</v>
      </c>
      <c r="E329" s="642" t="s">
        <v>3728</v>
      </c>
      <c r="F329" s="703"/>
      <c r="G329" s="537">
        <v>964.0</v>
      </c>
      <c r="H329" s="537">
        <v>92.0</v>
      </c>
      <c r="I329" s="536"/>
      <c r="J329" s="536"/>
      <c r="K329" s="536"/>
      <c r="L329" s="536"/>
      <c r="M329" s="536"/>
      <c r="N329" s="536"/>
      <c r="O329" s="536"/>
      <c r="P329" s="536"/>
      <c r="Q329" s="536"/>
      <c r="R329" s="536"/>
      <c r="S329" s="537"/>
      <c r="T329" s="537"/>
      <c r="U329" s="537" t="str">
        <f t="shared" si="3"/>
        <v/>
      </c>
      <c r="V329" s="536"/>
      <c r="W329" s="536"/>
      <c r="X329" s="536"/>
      <c r="Y329" s="536"/>
      <c r="Z329" s="536"/>
      <c r="AA329" s="536"/>
      <c r="AB329" s="536"/>
      <c r="AC329" s="536"/>
      <c r="AD329" s="536"/>
      <c r="AE329" s="536"/>
      <c r="AF329" s="536"/>
      <c r="AG329" s="536"/>
      <c r="AH329" s="536"/>
      <c r="AI329" s="536"/>
    </row>
    <row r="330">
      <c r="B330" s="649" t="s">
        <v>3139</v>
      </c>
      <c r="C330" s="542" t="s">
        <v>4175</v>
      </c>
      <c r="D330" s="650" t="s">
        <v>3140</v>
      </c>
      <c r="E330" s="647"/>
      <c r="F330" s="704"/>
      <c r="G330" s="537">
        <v>4393.0</v>
      </c>
      <c r="H330" s="537">
        <v>648.0</v>
      </c>
      <c r="I330" s="537">
        <v>1.0</v>
      </c>
      <c r="J330" s="537">
        <v>1.0</v>
      </c>
      <c r="K330" s="537">
        <v>1.0</v>
      </c>
      <c r="L330" s="537">
        <v>1.0</v>
      </c>
      <c r="M330" s="536"/>
      <c r="N330" s="537">
        <v>1.0</v>
      </c>
      <c r="O330" s="537">
        <v>1.0</v>
      </c>
      <c r="P330" s="536"/>
      <c r="Q330" s="536"/>
      <c r="R330" s="536"/>
      <c r="S330" s="537"/>
      <c r="T330" s="537">
        <v>1.0</v>
      </c>
      <c r="U330" s="537" t="str">
        <f t="shared" si="3"/>
        <v/>
      </c>
      <c r="V330" s="536"/>
      <c r="W330" s="537">
        <v>1.0</v>
      </c>
      <c r="X330" s="536"/>
      <c r="Y330" s="536"/>
      <c r="Z330" s="536"/>
      <c r="AA330" s="536"/>
      <c r="AB330" s="536"/>
      <c r="AC330" s="536"/>
      <c r="AD330" s="536"/>
      <c r="AE330" s="536"/>
      <c r="AF330" s="536"/>
      <c r="AG330" s="536"/>
      <c r="AH330" s="536"/>
      <c r="AI330" s="536"/>
    </row>
    <row r="331">
      <c r="B331" s="649" t="s">
        <v>3133</v>
      </c>
      <c r="C331" s="617" t="s">
        <v>4176</v>
      </c>
      <c r="D331" s="650" t="s">
        <v>3134</v>
      </c>
      <c r="E331" s="642" t="s">
        <v>3728</v>
      </c>
      <c r="F331" s="703"/>
      <c r="G331" s="537">
        <v>31219.0</v>
      </c>
      <c r="H331" s="537">
        <v>149.0</v>
      </c>
      <c r="I331" s="536"/>
      <c r="J331" s="536"/>
      <c r="K331" s="536"/>
      <c r="L331" s="536"/>
      <c r="M331" s="536"/>
      <c r="N331" s="536"/>
      <c r="O331" s="536"/>
      <c r="P331" s="536"/>
      <c r="Q331" s="536"/>
      <c r="R331" s="536"/>
      <c r="S331" s="537"/>
      <c r="T331" s="537"/>
      <c r="U331" s="537" t="str">
        <f t="shared" si="3"/>
        <v/>
      </c>
      <c r="V331" s="536"/>
      <c r="W331" s="536"/>
      <c r="X331" s="536"/>
      <c r="Y331" s="536"/>
      <c r="Z331" s="536"/>
      <c r="AA331" s="536"/>
      <c r="AB331" s="536"/>
      <c r="AC331" s="536"/>
      <c r="AD331" s="536"/>
      <c r="AE331" s="536"/>
      <c r="AF331" s="536"/>
      <c r="AG331" s="536"/>
      <c r="AH331" s="536"/>
      <c r="AI331" s="536"/>
    </row>
    <row r="332">
      <c r="B332" s="649" t="s">
        <v>3127</v>
      </c>
      <c r="C332" s="542" t="s">
        <v>4179</v>
      </c>
      <c r="D332" s="650" t="s">
        <v>3128</v>
      </c>
      <c r="E332" s="647"/>
      <c r="F332" s="704"/>
      <c r="G332" s="537">
        <v>468.0</v>
      </c>
      <c r="H332" s="537">
        <v>307.0</v>
      </c>
      <c r="I332" s="537">
        <v>1.0</v>
      </c>
      <c r="J332" s="536"/>
      <c r="K332" s="537">
        <v>1.0</v>
      </c>
      <c r="L332" s="536"/>
      <c r="M332" s="536"/>
      <c r="N332" s="537">
        <v>1.0</v>
      </c>
      <c r="O332" s="536"/>
      <c r="P332" s="537">
        <v>1.0</v>
      </c>
      <c r="Q332" s="536"/>
      <c r="R332" s="537">
        <v>1.0</v>
      </c>
      <c r="S332" s="537">
        <v>1.0</v>
      </c>
      <c r="T332" s="537"/>
      <c r="U332" s="537" t="str">
        <f t="shared" si="3"/>
        <v/>
      </c>
      <c r="V332" s="537">
        <v>1.0</v>
      </c>
      <c r="W332" s="537"/>
      <c r="X332" s="536"/>
      <c r="Y332" s="536"/>
      <c r="Z332" s="536"/>
      <c r="AA332" s="536"/>
      <c r="AB332" s="536"/>
      <c r="AC332" s="536"/>
      <c r="AD332" s="536"/>
      <c r="AE332" s="536"/>
      <c r="AF332" s="536"/>
      <c r="AG332" s="536"/>
      <c r="AH332" s="536"/>
      <c r="AI332" s="536"/>
    </row>
    <row r="333">
      <c r="B333" s="649" t="s">
        <v>3121</v>
      </c>
      <c r="C333" s="542" t="s">
        <v>4180</v>
      </c>
      <c r="D333" s="650" t="s">
        <v>3122</v>
      </c>
      <c r="E333" s="642" t="s">
        <v>3728</v>
      </c>
      <c r="F333" s="703"/>
      <c r="G333" s="537">
        <v>720.0</v>
      </c>
      <c r="H333" s="537">
        <v>614.0</v>
      </c>
      <c r="I333" s="536"/>
      <c r="J333" s="536"/>
      <c r="K333" s="536"/>
      <c r="L333" s="536"/>
      <c r="M333" s="536"/>
      <c r="N333" s="536"/>
      <c r="O333" s="536"/>
      <c r="P333" s="536"/>
      <c r="Q333" s="536"/>
      <c r="R333" s="536"/>
      <c r="S333" s="537"/>
      <c r="T333" s="537"/>
      <c r="U333" s="537" t="str">
        <f t="shared" si="3"/>
        <v/>
      </c>
      <c r="V333" s="536"/>
      <c r="W333" s="536"/>
      <c r="X333" s="536"/>
      <c r="Y333" s="536"/>
      <c r="Z333" s="536"/>
      <c r="AA333" s="536"/>
      <c r="AB333" s="536"/>
      <c r="AC333" s="536"/>
      <c r="AD333" s="536"/>
      <c r="AE333" s="536"/>
      <c r="AF333" s="536"/>
      <c r="AG333" s="536"/>
      <c r="AH333" s="536"/>
      <c r="AI333" s="536"/>
    </row>
    <row r="334">
      <c r="B334" s="649" t="s">
        <v>3115</v>
      </c>
      <c r="C334" s="542" t="s">
        <v>4183</v>
      </c>
      <c r="D334" s="650" t="s">
        <v>4181</v>
      </c>
      <c r="E334" s="642" t="s">
        <v>3728</v>
      </c>
      <c r="F334" s="703"/>
      <c r="G334" s="537">
        <v>12079.0</v>
      </c>
      <c r="H334" s="537">
        <v>466.0</v>
      </c>
      <c r="I334" s="536"/>
      <c r="J334" s="536"/>
      <c r="K334" s="536"/>
      <c r="L334" s="536"/>
      <c r="M334" s="536"/>
      <c r="N334" s="536"/>
      <c r="O334" s="536"/>
      <c r="P334" s="536"/>
      <c r="Q334" s="536"/>
      <c r="R334" s="536"/>
      <c r="S334" s="537"/>
      <c r="T334" s="537"/>
      <c r="U334" s="537" t="str">
        <f t="shared" si="3"/>
        <v/>
      </c>
      <c r="V334" s="536"/>
      <c r="W334" s="536"/>
      <c r="X334" s="536"/>
      <c r="Y334" s="536"/>
      <c r="Z334" s="536"/>
      <c r="AA334" s="536"/>
      <c r="AB334" s="536"/>
      <c r="AC334" s="536"/>
      <c r="AD334" s="536"/>
      <c r="AE334" s="536"/>
      <c r="AF334" s="536"/>
      <c r="AG334" s="536"/>
      <c r="AH334" s="536"/>
      <c r="AI334" s="536"/>
    </row>
    <row r="335">
      <c r="B335" s="640" t="s">
        <v>3109</v>
      </c>
      <c r="C335" s="542" t="s">
        <v>4186</v>
      </c>
      <c r="D335" s="650" t="s">
        <v>4184</v>
      </c>
      <c r="E335" s="647"/>
      <c r="F335" s="704"/>
      <c r="G335" s="537">
        <v>1166.0</v>
      </c>
      <c r="H335" s="537">
        <v>633.0</v>
      </c>
      <c r="I335" s="537">
        <v>1.0</v>
      </c>
      <c r="J335" s="537">
        <v>1.0</v>
      </c>
      <c r="K335" s="537">
        <v>1.0</v>
      </c>
      <c r="L335" s="537">
        <v>1.0</v>
      </c>
      <c r="M335" s="536"/>
      <c r="N335" s="537">
        <v>1.0</v>
      </c>
      <c r="O335" s="536"/>
      <c r="P335" s="536"/>
      <c r="Q335" s="536"/>
      <c r="R335" s="537">
        <v>1.0</v>
      </c>
      <c r="S335" s="537"/>
      <c r="T335" s="537"/>
      <c r="U335" s="537" t="str">
        <f t="shared" si="3"/>
        <v/>
      </c>
      <c r="V335" s="536"/>
      <c r="W335" s="536"/>
      <c r="X335" s="536"/>
      <c r="Y335" s="536"/>
      <c r="Z335" s="536"/>
      <c r="AA335" s="536"/>
      <c r="AB335" s="536"/>
      <c r="AC335" s="536"/>
      <c r="AD335" s="536"/>
      <c r="AE335" s="536"/>
      <c r="AF335" s="536"/>
      <c r="AG335" s="536"/>
      <c r="AH335" s="536"/>
      <c r="AI335" s="536"/>
    </row>
    <row r="336">
      <c r="B336" s="649" t="s">
        <v>3103</v>
      </c>
      <c r="C336" s="542" t="s">
        <v>4188</v>
      </c>
      <c r="D336" s="650" t="s">
        <v>4187</v>
      </c>
      <c r="E336" s="642" t="s">
        <v>3728</v>
      </c>
      <c r="F336" s="703"/>
      <c r="G336" s="537">
        <v>1350.0</v>
      </c>
      <c r="H336" s="537">
        <v>292.0</v>
      </c>
      <c r="I336" s="536"/>
      <c r="J336" s="536"/>
      <c r="K336" s="536"/>
      <c r="L336" s="536"/>
      <c r="M336" s="536"/>
      <c r="N336" s="536"/>
      <c r="O336" s="536"/>
      <c r="P336" s="536"/>
      <c r="Q336" s="536"/>
      <c r="R336" s="536"/>
      <c r="S336" s="537"/>
      <c r="T336" s="537"/>
      <c r="U336" s="537" t="str">
        <f t="shared" si="3"/>
        <v/>
      </c>
      <c r="V336" s="536"/>
      <c r="W336" s="536"/>
      <c r="X336" s="536"/>
      <c r="Y336" s="536"/>
      <c r="Z336" s="536"/>
      <c r="AA336" s="536"/>
      <c r="AB336" s="536"/>
      <c r="AC336" s="536"/>
      <c r="AD336" s="536"/>
      <c r="AE336" s="536"/>
      <c r="AF336" s="536"/>
      <c r="AG336" s="536"/>
      <c r="AH336" s="536"/>
      <c r="AI336" s="536"/>
    </row>
    <row r="337">
      <c r="B337" s="649" t="s">
        <v>3097</v>
      </c>
      <c r="C337" s="542" t="s">
        <v>4190</v>
      </c>
      <c r="D337" s="650" t="s">
        <v>4189</v>
      </c>
      <c r="E337" s="642" t="s">
        <v>3728</v>
      </c>
      <c r="F337" s="703"/>
      <c r="G337" s="537">
        <v>1.0</v>
      </c>
      <c r="H337" s="537">
        <v>9.0</v>
      </c>
      <c r="I337" s="536"/>
      <c r="J337" s="536"/>
      <c r="K337" s="536"/>
      <c r="L337" s="536"/>
      <c r="M337" s="536"/>
      <c r="N337" s="536"/>
      <c r="O337" s="536"/>
      <c r="P337" s="536"/>
      <c r="Q337" s="536"/>
      <c r="R337" s="536"/>
      <c r="S337" s="537"/>
      <c r="T337" s="537"/>
      <c r="U337" s="537" t="str">
        <f t="shared" si="3"/>
        <v/>
      </c>
      <c r="V337" s="536"/>
      <c r="W337" s="536"/>
      <c r="X337" s="536"/>
      <c r="Y337" s="536"/>
      <c r="Z337" s="536"/>
      <c r="AA337" s="536"/>
      <c r="AB337" s="536"/>
      <c r="AC337" s="536"/>
      <c r="AD337" s="536"/>
      <c r="AE337" s="536"/>
      <c r="AF337" s="536"/>
      <c r="AG337" s="536"/>
      <c r="AH337" s="536"/>
      <c r="AI337" s="536"/>
    </row>
    <row r="338">
      <c r="B338" s="649" t="s">
        <v>3091</v>
      </c>
      <c r="C338" s="542" t="s">
        <v>4192</v>
      </c>
      <c r="D338" s="650" t="s">
        <v>3092</v>
      </c>
      <c r="E338" s="647"/>
      <c r="F338" s="704"/>
      <c r="G338" s="537">
        <v>1195.0</v>
      </c>
      <c r="H338" s="537">
        <v>363.0</v>
      </c>
      <c r="I338" s="537">
        <v>1.0</v>
      </c>
      <c r="J338" s="537">
        <v>1.0</v>
      </c>
      <c r="K338" s="537">
        <v>1.0</v>
      </c>
      <c r="L338" s="537">
        <v>1.0</v>
      </c>
      <c r="M338" s="536"/>
      <c r="N338" s="536"/>
      <c r="O338" s="537">
        <v>1.0</v>
      </c>
      <c r="P338" s="537">
        <v>1.0</v>
      </c>
      <c r="Q338" s="536"/>
      <c r="R338" s="537">
        <v>1.0</v>
      </c>
      <c r="S338" s="537"/>
      <c r="T338" s="537"/>
      <c r="U338" s="537" t="str">
        <f t="shared" si="3"/>
        <v/>
      </c>
      <c r="V338" s="536"/>
      <c r="W338" s="536"/>
      <c r="X338" s="536"/>
      <c r="Y338" s="536"/>
      <c r="Z338" s="536"/>
      <c r="AA338" s="536"/>
      <c r="AB338" s="536"/>
      <c r="AC338" s="536"/>
      <c r="AD338" s="536"/>
      <c r="AE338" s="536"/>
      <c r="AF338" s="536"/>
      <c r="AG338" s="536"/>
      <c r="AH338" s="536"/>
      <c r="AI338" s="536"/>
    </row>
    <row r="339">
      <c r="B339" s="649" t="s">
        <v>3085</v>
      </c>
      <c r="C339" s="542" t="s">
        <v>4193</v>
      </c>
      <c r="D339" s="650" t="s">
        <v>3086</v>
      </c>
      <c r="E339" s="642" t="s">
        <v>3728</v>
      </c>
      <c r="F339" s="703"/>
      <c r="G339" s="537">
        <v>546.0</v>
      </c>
      <c r="H339" s="537">
        <v>15.0</v>
      </c>
      <c r="I339" s="536"/>
      <c r="J339" s="536"/>
      <c r="K339" s="536"/>
      <c r="L339" s="536"/>
      <c r="M339" s="536"/>
      <c r="N339" s="536"/>
      <c r="O339" s="536"/>
      <c r="P339" s="536"/>
      <c r="Q339" s="536"/>
      <c r="R339" s="536"/>
      <c r="S339" s="537"/>
      <c r="T339" s="537"/>
      <c r="U339" s="537" t="str">
        <f t="shared" si="3"/>
        <v/>
      </c>
      <c r="V339" s="536"/>
      <c r="W339" s="536"/>
      <c r="X339" s="536"/>
      <c r="Y339" s="536"/>
      <c r="Z339" s="536"/>
      <c r="AA339" s="536"/>
      <c r="AB339" s="536"/>
      <c r="AC339" s="536"/>
      <c r="AD339" s="536"/>
      <c r="AE339" s="536"/>
      <c r="AF339" s="536"/>
      <c r="AG339" s="536"/>
      <c r="AH339" s="536"/>
      <c r="AI339" s="536"/>
    </row>
    <row r="340">
      <c r="B340" s="649" t="s">
        <v>3080</v>
      </c>
      <c r="C340" s="542" t="s">
        <v>4195</v>
      </c>
      <c r="D340" s="650" t="s">
        <v>631</v>
      </c>
      <c r="E340" s="647"/>
      <c r="F340" s="704"/>
      <c r="G340" s="537">
        <v>7314.0</v>
      </c>
      <c r="H340" s="537">
        <v>7016.0</v>
      </c>
      <c r="I340" s="537">
        <v>1.0</v>
      </c>
      <c r="J340" s="536"/>
      <c r="K340" s="536"/>
      <c r="L340" s="536"/>
      <c r="M340" s="536"/>
      <c r="N340" s="536"/>
      <c r="O340" s="537">
        <v>1.0</v>
      </c>
      <c r="P340" s="536"/>
      <c r="Q340" s="536"/>
      <c r="R340" s="537">
        <v>1.0</v>
      </c>
      <c r="S340" s="537">
        <v>1.0</v>
      </c>
      <c r="T340" s="537">
        <v>1.0</v>
      </c>
      <c r="U340" s="537" t="str">
        <f t="shared" si="3"/>
        <v/>
      </c>
      <c r="V340" s="536"/>
      <c r="W340" s="536"/>
      <c r="X340" s="536"/>
      <c r="Y340" s="536"/>
      <c r="Z340" s="536"/>
      <c r="AA340" s="536"/>
      <c r="AB340" s="536"/>
      <c r="AC340" s="536"/>
      <c r="AD340" s="536"/>
      <c r="AE340" s="536"/>
      <c r="AF340" s="536"/>
      <c r="AG340" s="536"/>
      <c r="AH340" s="536"/>
      <c r="AI340" s="536"/>
    </row>
    <row r="341">
      <c r="B341" s="649" t="s">
        <v>3074</v>
      </c>
      <c r="C341" s="542" t="s">
        <v>4197</v>
      </c>
      <c r="D341" s="650" t="s">
        <v>3075</v>
      </c>
      <c r="E341" s="642" t="s">
        <v>3728</v>
      </c>
      <c r="F341" s="703"/>
      <c r="G341" s="537">
        <v>24434.0</v>
      </c>
      <c r="H341" s="537">
        <v>1345.0</v>
      </c>
      <c r="I341" s="536"/>
      <c r="J341" s="536"/>
      <c r="K341" s="536"/>
      <c r="L341" s="536"/>
      <c r="M341" s="536"/>
      <c r="N341" s="536"/>
      <c r="O341" s="536"/>
      <c r="P341" s="536"/>
      <c r="Q341" s="536"/>
      <c r="R341" s="536"/>
      <c r="S341" s="537"/>
      <c r="T341" s="537"/>
      <c r="U341" s="537" t="str">
        <f t="shared" si="3"/>
        <v/>
      </c>
      <c r="V341" s="536"/>
      <c r="W341" s="536"/>
      <c r="X341" s="536"/>
      <c r="Y341" s="536"/>
      <c r="Z341" s="536"/>
      <c r="AA341" s="536"/>
      <c r="AB341" s="536"/>
      <c r="AC341" s="536"/>
      <c r="AD341" s="536"/>
      <c r="AE341" s="536"/>
      <c r="AF341" s="536"/>
      <c r="AG341" s="536"/>
      <c r="AH341" s="536"/>
      <c r="AI341" s="536"/>
    </row>
    <row r="342">
      <c r="B342" s="649" t="s">
        <v>3068</v>
      </c>
      <c r="C342" s="542" t="s">
        <v>4198</v>
      </c>
      <c r="D342" s="650" t="s">
        <v>3069</v>
      </c>
      <c r="E342" s="642" t="s">
        <v>3728</v>
      </c>
      <c r="F342" s="703"/>
      <c r="G342" s="537">
        <v>2860.0</v>
      </c>
      <c r="H342" s="537">
        <v>89.0</v>
      </c>
      <c r="I342" s="536"/>
      <c r="J342" s="536"/>
      <c r="K342" s="536"/>
      <c r="L342" s="536"/>
      <c r="M342" s="536"/>
      <c r="N342" s="536"/>
      <c r="O342" s="536"/>
      <c r="P342" s="536"/>
      <c r="Q342" s="536"/>
      <c r="R342" s="536"/>
      <c r="S342" s="537"/>
      <c r="T342" s="537"/>
      <c r="U342" s="537" t="str">
        <f t="shared" si="3"/>
        <v/>
      </c>
      <c r="V342" s="536"/>
      <c r="W342" s="536"/>
      <c r="X342" s="536"/>
      <c r="Y342" s="536"/>
      <c r="Z342" s="536"/>
      <c r="AA342" s="536"/>
      <c r="AB342" s="536"/>
      <c r="AC342" s="536"/>
      <c r="AD342" s="536"/>
      <c r="AE342" s="536"/>
      <c r="AF342" s="536"/>
      <c r="AG342" s="536"/>
      <c r="AH342" s="536"/>
      <c r="AI342" s="536"/>
    </row>
    <row r="343">
      <c r="B343" s="649" t="s">
        <v>3062</v>
      </c>
      <c r="C343" s="542" t="s">
        <v>4199</v>
      </c>
      <c r="D343" s="650" t="s">
        <v>3063</v>
      </c>
      <c r="E343" s="642" t="s">
        <v>3728</v>
      </c>
      <c r="F343" s="703"/>
      <c r="G343" s="537">
        <v>3389.0</v>
      </c>
      <c r="H343" s="537">
        <v>3371.0</v>
      </c>
      <c r="I343" s="536"/>
      <c r="J343" s="536"/>
      <c r="K343" s="536"/>
      <c r="L343" s="536"/>
      <c r="M343" s="536"/>
      <c r="N343" s="536"/>
      <c r="O343" s="536"/>
      <c r="P343" s="536"/>
      <c r="Q343" s="536"/>
      <c r="R343" s="536"/>
      <c r="S343" s="537"/>
      <c r="T343" s="537"/>
      <c r="U343" s="537" t="str">
        <f t="shared" si="3"/>
        <v/>
      </c>
      <c r="V343" s="536"/>
      <c r="W343" s="536"/>
      <c r="X343" s="536"/>
      <c r="Y343" s="536"/>
      <c r="Z343" s="536"/>
      <c r="AA343" s="536"/>
      <c r="AB343" s="536"/>
      <c r="AC343" s="536"/>
      <c r="AD343" s="536"/>
      <c r="AE343" s="536"/>
      <c r="AF343" s="536"/>
      <c r="AG343" s="536"/>
      <c r="AH343" s="536"/>
      <c r="AI343" s="536"/>
    </row>
    <row r="344">
      <c r="A344" s="684" t="s">
        <v>3258</v>
      </c>
      <c r="B344" s="685" t="s">
        <v>3273</v>
      </c>
      <c r="C344" s="608" t="s">
        <v>4136</v>
      </c>
      <c r="D344" s="686" t="s">
        <v>4200</v>
      </c>
      <c r="E344" s="687"/>
      <c r="F344" s="716"/>
      <c r="G344" s="597"/>
      <c r="H344" s="597"/>
      <c r="I344" s="597"/>
      <c r="J344" s="597"/>
      <c r="K344" s="597"/>
      <c r="L344" s="597"/>
      <c r="M344" s="597"/>
      <c r="N344" s="597"/>
      <c r="O344" s="597"/>
      <c r="P344" s="597"/>
      <c r="Q344" s="597"/>
      <c r="R344" s="597"/>
      <c r="S344" s="598"/>
      <c r="T344" s="598"/>
      <c r="U344" s="598">
        <f t="shared" si="3"/>
        <v>1</v>
      </c>
      <c r="V344" s="597"/>
      <c r="W344" s="597"/>
      <c r="X344" s="597"/>
      <c r="Y344" s="597"/>
      <c r="Z344" s="597"/>
      <c r="AA344" s="597"/>
      <c r="AB344" s="597"/>
      <c r="AC344" s="597"/>
      <c r="AD344" s="597"/>
      <c r="AE344" s="597"/>
      <c r="AF344" s="597"/>
      <c r="AG344" s="597"/>
      <c r="AH344" s="597"/>
      <c r="AI344" s="597"/>
    </row>
    <row r="345">
      <c r="B345" s="685" t="s">
        <v>3270</v>
      </c>
      <c r="C345" s="603" t="s">
        <v>4202</v>
      </c>
      <c r="D345" s="686" t="s">
        <v>4201</v>
      </c>
      <c r="E345" s="688" t="s">
        <v>3728</v>
      </c>
      <c r="F345" s="717"/>
      <c r="G345" s="598">
        <v>154.0</v>
      </c>
      <c r="H345" s="598">
        <v>0.0</v>
      </c>
      <c r="I345" s="597"/>
      <c r="J345" s="597"/>
      <c r="K345" s="597"/>
      <c r="L345" s="597"/>
      <c r="M345" s="597"/>
      <c r="N345" s="597"/>
      <c r="O345" s="597"/>
      <c r="P345" s="597"/>
      <c r="Q345" s="597"/>
      <c r="R345" s="597"/>
      <c r="S345" s="598"/>
      <c r="T345" s="598"/>
      <c r="U345" s="598" t="str">
        <f t="shared" si="3"/>
        <v/>
      </c>
      <c r="V345" s="597"/>
      <c r="W345" s="597"/>
      <c r="X345" s="597"/>
      <c r="Y345" s="597"/>
      <c r="Z345" s="597"/>
      <c r="AA345" s="597"/>
      <c r="AB345" s="597"/>
      <c r="AC345" s="597"/>
      <c r="AD345" s="597"/>
      <c r="AE345" s="597"/>
      <c r="AF345" s="597"/>
      <c r="AG345" s="597"/>
      <c r="AH345" s="597"/>
      <c r="AI345" s="597"/>
    </row>
    <row r="346">
      <c r="B346" s="685" t="s">
        <v>3267</v>
      </c>
      <c r="C346" s="603" t="s">
        <v>4205</v>
      </c>
      <c r="D346" s="686" t="s">
        <v>4203</v>
      </c>
      <c r="E346" s="687"/>
      <c r="F346" s="716"/>
      <c r="G346" s="598">
        <v>327.0</v>
      </c>
      <c r="H346" s="598">
        <v>48.0</v>
      </c>
      <c r="I346" s="598">
        <v>1.0</v>
      </c>
      <c r="J346" s="597"/>
      <c r="K346" s="598">
        <v>1.0</v>
      </c>
      <c r="L346" s="598">
        <v>1.0</v>
      </c>
      <c r="M346" s="597"/>
      <c r="N346" s="597"/>
      <c r="O346" s="598">
        <v>1.0</v>
      </c>
      <c r="P346" s="598">
        <v>1.0</v>
      </c>
      <c r="Q346" s="597"/>
      <c r="R346" s="598">
        <v>1.0</v>
      </c>
      <c r="S346" s="598"/>
      <c r="T346" s="598"/>
      <c r="U346" s="598" t="str">
        <f t="shared" si="3"/>
        <v/>
      </c>
      <c r="V346" s="597"/>
      <c r="W346" s="597"/>
      <c r="X346" s="597"/>
      <c r="Y346" s="597"/>
      <c r="Z346" s="597"/>
      <c r="AA346" s="597"/>
      <c r="AB346" s="597"/>
      <c r="AC346" s="597"/>
      <c r="AD346" s="597"/>
      <c r="AE346" s="597"/>
      <c r="AF346" s="597"/>
      <c r="AG346" s="597"/>
      <c r="AH346" s="597"/>
      <c r="AI346" s="597"/>
    </row>
    <row r="347">
      <c r="B347" s="685" t="s">
        <v>3264</v>
      </c>
      <c r="C347" s="603" t="s">
        <v>4207</v>
      </c>
      <c r="D347" s="686" t="s">
        <v>4206</v>
      </c>
      <c r="E347" s="688" t="s">
        <v>3728</v>
      </c>
      <c r="F347" s="717"/>
      <c r="G347" s="598">
        <v>29.0</v>
      </c>
      <c r="H347" s="598">
        <v>20.0</v>
      </c>
      <c r="I347" s="597"/>
      <c r="J347" s="597"/>
      <c r="K347" s="597"/>
      <c r="L347" s="597"/>
      <c r="M347" s="597"/>
      <c r="N347" s="597"/>
      <c r="O347" s="597"/>
      <c r="P347" s="597"/>
      <c r="Q347" s="597"/>
      <c r="R347" s="597"/>
      <c r="S347" s="598"/>
      <c r="T347" s="598"/>
      <c r="U347" s="598" t="str">
        <f t="shared" si="3"/>
        <v/>
      </c>
      <c r="V347" s="597"/>
      <c r="W347" s="597"/>
      <c r="X347" s="597"/>
      <c r="Y347" s="597"/>
      <c r="Z347" s="597"/>
      <c r="AA347" s="597"/>
      <c r="AB347" s="597"/>
      <c r="AC347" s="597"/>
      <c r="AD347" s="597"/>
      <c r="AE347" s="597"/>
      <c r="AF347" s="597"/>
      <c r="AG347" s="597"/>
      <c r="AH347" s="597"/>
      <c r="AI347" s="597"/>
    </row>
    <row r="348">
      <c r="B348" s="685" t="s">
        <v>3259</v>
      </c>
      <c r="C348" s="608" t="s">
        <v>4136</v>
      </c>
      <c r="D348" s="686" t="s">
        <v>4208</v>
      </c>
      <c r="E348" s="687"/>
      <c r="F348" s="716"/>
      <c r="G348" s="597"/>
      <c r="H348" s="597"/>
      <c r="I348" s="597"/>
      <c r="J348" s="597"/>
      <c r="K348" s="597"/>
      <c r="L348" s="597"/>
      <c r="M348" s="597"/>
      <c r="N348" s="597"/>
      <c r="O348" s="597"/>
      <c r="P348" s="597"/>
      <c r="Q348" s="597"/>
      <c r="R348" s="597"/>
      <c r="S348" s="598"/>
      <c r="T348" s="598"/>
      <c r="U348" s="598">
        <f t="shared" si="3"/>
        <v>1</v>
      </c>
      <c r="V348" s="597"/>
      <c r="W348" s="597"/>
      <c r="X348" s="597"/>
      <c r="Y348" s="597"/>
      <c r="Z348" s="597"/>
      <c r="AA348" s="597"/>
      <c r="AB348" s="597"/>
      <c r="AC348" s="597"/>
      <c r="AD348" s="597"/>
      <c r="AE348" s="597"/>
      <c r="AF348" s="597"/>
      <c r="AG348" s="597"/>
      <c r="AH348" s="597"/>
      <c r="AI348" s="597"/>
    </row>
    <row r="349">
      <c r="A349" s="689" t="s">
        <v>3219</v>
      </c>
      <c r="B349" s="690" t="s">
        <v>3240</v>
      </c>
      <c r="C349" s="626" t="s">
        <v>4211</v>
      </c>
      <c r="D349" s="691" t="s">
        <v>4209</v>
      </c>
      <c r="E349" s="692"/>
      <c r="F349" s="720"/>
      <c r="G349" s="622">
        <v>468.0</v>
      </c>
      <c r="H349" s="622">
        <v>38.0</v>
      </c>
      <c r="I349" s="622">
        <v>1.0</v>
      </c>
      <c r="J349" s="622">
        <v>1.0</v>
      </c>
      <c r="K349" s="622">
        <v>1.0</v>
      </c>
      <c r="L349" s="622">
        <v>1.0</v>
      </c>
      <c r="M349" s="621"/>
      <c r="N349" s="621"/>
      <c r="O349" s="621"/>
      <c r="P349" s="621"/>
      <c r="Q349" s="621"/>
      <c r="R349" s="622">
        <v>1.0</v>
      </c>
      <c r="S349" s="622"/>
      <c r="T349" s="622"/>
      <c r="U349" s="622" t="str">
        <f t="shared" si="3"/>
        <v/>
      </c>
      <c r="V349" s="622">
        <v>1.0</v>
      </c>
      <c r="W349" s="622"/>
      <c r="X349" s="621"/>
      <c r="Y349" s="621"/>
      <c r="Z349" s="621"/>
      <c r="AA349" s="621"/>
      <c r="AB349" s="621"/>
      <c r="AC349" s="621"/>
      <c r="AD349" s="621"/>
      <c r="AE349" s="621"/>
      <c r="AF349" s="621"/>
      <c r="AG349" s="621"/>
      <c r="AH349" s="621"/>
      <c r="AI349" s="621"/>
    </row>
    <row r="350">
      <c r="B350" s="690" t="s">
        <v>3234</v>
      </c>
      <c r="C350" s="626" t="s">
        <v>4213</v>
      </c>
      <c r="D350" s="691" t="s">
        <v>4212</v>
      </c>
      <c r="E350" s="693" t="s">
        <v>3728</v>
      </c>
      <c r="F350" s="721"/>
      <c r="G350" s="622">
        <v>135.0</v>
      </c>
      <c r="H350" s="622">
        <v>134.0</v>
      </c>
      <c r="I350" s="621"/>
      <c r="J350" s="621"/>
      <c r="K350" s="621"/>
      <c r="L350" s="621"/>
      <c r="M350" s="621"/>
      <c r="N350" s="621"/>
      <c r="O350" s="621"/>
      <c r="P350" s="621"/>
      <c r="Q350" s="621"/>
      <c r="R350" s="621"/>
      <c r="S350" s="622"/>
      <c r="T350" s="622"/>
      <c r="U350" s="622" t="str">
        <f t="shared" si="3"/>
        <v/>
      </c>
      <c r="V350" s="621"/>
      <c r="W350" s="621"/>
      <c r="X350" s="621"/>
      <c r="Y350" s="621"/>
      <c r="Z350" s="621"/>
      <c r="AA350" s="621"/>
      <c r="AB350" s="621"/>
      <c r="AC350" s="621"/>
      <c r="AD350" s="621"/>
      <c r="AE350" s="621"/>
      <c r="AF350" s="621"/>
      <c r="AG350" s="621"/>
      <c r="AH350" s="621"/>
      <c r="AI350" s="621"/>
    </row>
    <row r="351">
      <c r="B351" s="690" t="s">
        <v>3226</v>
      </c>
      <c r="C351" s="626" t="s">
        <v>4216</v>
      </c>
      <c r="D351" s="691" t="s">
        <v>4214</v>
      </c>
      <c r="E351" s="693" t="s">
        <v>3728</v>
      </c>
      <c r="F351" s="721"/>
      <c r="G351" s="622">
        <v>2048.0</v>
      </c>
      <c r="H351" s="622">
        <v>1304.0</v>
      </c>
      <c r="I351" s="621"/>
      <c r="J351" s="621"/>
      <c r="K351" s="621"/>
      <c r="L351" s="621"/>
      <c r="M351" s="621"/>
      <c r="N351" s="621"/>
      <c r="O351" s="621"/>
      <c r="P351" s="621"/>
      <c r="Q351" s="621"/>
      <c r="R351" s="621"/>
      <c r="S351" s="622"/>
      <c r="T351" s="622"/>
      <c r="U351" s="622" t="str">
        <f t="shared" si="3"/>
        <v/>
      </c>
      <c r="V351" s="621"/>
      <c r="W351" s="621"/>
      <c r="X351" s="621"/>
      <c r="Y351" s="621"/>
      <c r="Z351" s="621"/>
      <c r="AA351" s="621"/>
      <c r="AB351" s="621"/>
      <c r="AC351" s="621"/>
      <c r="AD351" s="621"/>
      <c r="AE351" s="621"/>
      <c r="AF351" s="621"/>
      <c r="AG351" s="621"/>
      <c r="AH351" s="621"/>
      <c r="AI351" s="621"/>
    </row>
    <row r="352">
      <c r="B352" s="690" t="s">
        <v>3220</v>
      </c>
      <c r="C352" s="626" t="s">
        <v>4219</v>
      </c>
      <c r="D352" s="691" t="s">
        <v>4217</v>
      </c>
      <c r="E352" s="693" t="s">
        <v>3728</v>
      </c>
      <c r="F352" s="721"/>
      <c r="G352" s="622">
        <v>573.0</v>
      </c>
      <c r="H352" s="622">
        <v>219.0</v>
      </c>
      <c r="I352" s="621"/>
      <c r="J352" s="621"/>
      <c r="K352" s="621"/>
      <c r="L352" s="621"/>
      <c r="M352" s="621"/>
      <c r="N352" s="621"/>
      <c r="O352" s="621"/>
      <c r="P352" s="621"/>
      <c r="Q352" s="621"/>
      <c r="R352" s="621"/>
      <c r="S352" s="622"/>
      <c r="T352" s="622"/>
      <c r="U352" s="622" t="str">
        <f t="shared" si="3"/>
        <v/>
      </c>
      <c r="V352" s="621"/>
      <c r="W352" s="621"/>
      <c r="X352" s="621"/>
      <c r="Y352" s="621"/>
      <c r="Z352" s="621"/>
      <c r="AA352" s="621"/>
      <c r="AB352" s="621"/>
      <c r="AC352" s="621"/>
      <c r="AD352" s="621"/>
      <c r="AE352" s="621"/>
      <c r="AF352" s="621"/>
      <c r="AG352" s="621"/>
      <c r="AH352" s="621"/>
      <c r="AI352" s="621"/>
    </row>
    <row r="353">
      <c r="A353" s="669" t="s">
        <v>3387</v>
      </c>
      <c r="B353" s="670" t="s">
        <v>3525</v>
      </c>
      <c r="C353" s="568" t="s">
        <v>4221</v>
      </c>
      <c r="D353" s="671" t="s">
        <v>4220</v>
      </c>
      <c r="E353" s="672"/>
      <c r="F353" s="709"/>
      <c r="G353" s="438">
        <v>1951.0</v>
      </c>
      <c r="H353" s="438">
        <v>186.0</v>
      </c>
      <c r="I353" s="438">
        <v>1.0</v>
      </c>
      <c r="J353" s="564"/>
      <c r="K353" s="438">
        <v>1.0</v>
      </c>
      <c r="L353" s="438">
        <v>1.0</v>
      </c>
      <c r="M353" s="438">
        <v>1.0</v>
      </c>
      <c r="N353" s="438">
        <v>1.0</v>
      </c>
      <c r="O353" s="564"/>
      <c r="P353" s="564"/>
      <c r="Q353" s="564"/>
      <c r="R353" s="438">
        <v>1.0</v>
      </c>
      <c r="S353" s="438">
        <v>1.0</v>
      </c>
      <c r="T353" s="438">
        <v>1.0</v>
      </c>
      <c r="U353" s="438" t="str">
        <f t="shared" si="3"/>
        <v/>
      </c>
      <c r="V353" s="564"/>
      <c r="W353" s="564"/>
      <c r="X353" s="564"/>
      <c r="Y353" s="564"/>
      <c r="Z353" s="564"/>
      <c r="AA353" s="564"/>
      <c r="AB353" s="564"/>
      <c r="AC353" s="564"/>
      <c r="AD353" s="564"/>
      <c r="AE353" s="564"/>
      <c r="AF353" s="564"/>
      <c r="AG353" s="564"/>
      <c r="AH353" s="564"/>
      <c r="AI353" s="564"/>
    </row>
    <row r="354">
      <c r="B354" s="670" t="s">
        <v>3521</v>
      </c>
      <c r="C354" s="438" t="s">
        <v>4136</v>
      </c>
      <c r="D354" s="671" t="s">
        <v>4222</v>
      </c>
      <c r="E354" s="672"/>
      <c r="F354" s="709"/>
      <c r="G354" s="564"/>
      <c r="H354" s="564"/>
      <c r="I354" s="564"/>
      <c r="J354" s="564"/>
      <c r="K354" s="564"/>
      <c r="L354" s="564"/>
      <c r="M354" s="564"/>
      <c r="N354" s="564"/>
      <c r="O354" s="564"/>
      <c r="P354" s="564"/>
      <c r="Q354" s="564"/>
      <c r="R354" s="564"/>
      <c r="S354" s="438"/>
      <c r="T354" s="438"/>
      <c r="U354" s="438">
        <f t="shared" si="3"/>
        <v>1</v>
      </c>
      <c r="V354" s="564"/>
      <c r="W354" s="564"/>
      <c r="X354" s="564"/>
      <c r="Y354" s="564"/>
      <c r="Z354" s="564"/>
      <c r="AA354" s="564"/>
      <c r="AB354" s="564"/>
      <c r="AC354" s="564"/>
      <c r="AD354" s="564"/>
      <c r="AE354" s="564"/>
      <c r="AF354" s="564"/>
      <c r="AG354" s="564"/>
      <c r="AH354" s="564"/>
      <c r="AI354" s="564"/>
    </row>
    <row r="355">
      <c r="B355" s="670" t="s">
        <v>3517</v>
      </c>
      <c r="C355" s="438" t="s">
        <v>4136</v>
      </c>
      <c r="D355" s="671" t="s">
        <v>4223</v>
      </c>
      <c r="E355" s="672"/>
      <c r="F355" s="709"/>
      <c r="G355" s="564"/>
      <c r="H355" s="564"/>
      <c r="I355" s="564"/>
      <c r="J355" s="564"/>
      <c r="K355" s="564"/>
      <c r="L355" s="564"/>
      <c r="M355" s="564"/>
      <c r="N355" s="564"/>
      <c r="O355" s="564"/>
      <c r="P355" s="564"/>
      <c r="Q355" s="564"/>
      <c r="R355" s="564"/>
      <c r="S355" s="438"/>
      <c r="T355" s="438"/>
      <c r="U355" s="438">
        <f t="shared" si="3"/>
        <v>1</v>
      </c>
      <c r="V355" s="564"/>
      <c r="W355" s="564"/>
      <c r="X355" s="564"/>
      <c r="Y355" s="564"/>
      <c r="Z355" s="564"/>
      <c r="AA355" s="564"/>
      <c r="AB355" s="564"/>
      <c r="AC355" s="564"/>
      <c r="AD355" s="564"/>
      <c r="AE355" s="564"/>
      <c r="AF355" s="564"/>
      <c r="AG355" s="564"/>
      <c r="AH355" s="564"/>
      <c r="AI355" s="564"/>
    </row>
    <row r="356">
      <c r="B356" s="670" t="s">
        <v>3513</v>
      </c>
      <c r="C356" s="438" t="s">
        <v>4136</v>
      </c>
      <c r="D356" s="671" t="s">
        <v>4224</v>
      </c>
      <c r="E356" s="672"/>
      <c r="F356" s="709"/>
      <c r="G356" s="564"/>
      <c r="H356" s="564"/>
      <c r="I356" s="564"/>
      <c r="J356" s="564"/>
      <c r="K356" s="564"/>
      <c r="L356" s="564"/>
      <c r="M356" s="564"/>
      <c r="N356" s="564"/>
      <c r="O356" s="564"/>
      <c r="P356" s="564"/>
      <c r="Q356" s="564"/>
      <c r="R356" s="564"/>
      <c r="S356" s="438"/>
      <c r="T356" s="438"/>
      <c r="U356" s="438">
        <f t="shared" si="3"/>
        <v>1</v>
      </c>
      <c r="V356" s="564"/>
      <c r="W356" s="564"/>
      <c r="X356" s="564"/>
      <c r="Y356" s="564"/>
      <c r="Z356" s="564"/>
      <c r="AA356" s="564"/>
      <c r="AB356" s="564"/>
      <c r="AC356" s="564"/>
      <c r="AD356" s="564"/>
      <c r="AE356" s="564"/>
      <c r="AF356" s="564"/>
      <c r="AG356" s="564"/>
      <c r="AH356" s="564"/>
      <c r="AI356" s="564"/>
    </row>
    <row r="357">
      <c r="B357" s="670" t="s">
        <v>4225</v>
      </c>
      <c r="C357" s="438" t="s">
        <v>4136</v>
      </c>
      <c r="D357" s="671" t="s">
        <v>4226</v>
      </c>
      <c r="E357" s="672"/>
      <c r="F357" s="709"/>
      <c r="G357" s="564"/>
      <c r="H357" s="564"/>
      <c r="I357" s="564"/>
      <c r="J357" s="564"/>
      <c r="K357" s="564"/>
      <c r="L357" s="564"/>
      <c r="M357" s="564"/>
      <c r="N357" s="564"/>
      <c r="O357" s="564"/>
      <c r="P357" s="564"/>
      <c r="Q357" s="564"/>
      <c r="R357" s="564"/>
      <c r="S357" s="438"/>
      <c r="T357" s="438"/>
      <c r="U357" s="438">
        <f t="shared" si="3"/>
        <v>1</v>
      </c>
      <c r="V357" s="564"/>
      <c r="W357" s="564"/>
      <c r="X357" s="564"/>
      <c r="Y357" s="564"/>
      <c r="Z357" s="564"/>
      <c r="AA357" s="564"/>
      <c r="AB357" s="564"/>
      <c r="AC357" s="564"/>
      <c r="AD357" s="564"/>
      <c r="AE357" s="564"/>
      <c r="AF357" s="564"/>
      <c r="AG357" s="564"/>
      <c r="AH357" s="564"/>
      <c r="AI357" s="564"/>
    </row>
    <row r="358">
      <c r="B358" s="670" t="s">
        <v>3505</v>
      </c>
      <c r="C358" s="438" t="s">
        <v>4136</v>
      </c>
      <c r="D358" s="671" t="s">
        <v>4227</v>
      </c>
      <c r="E358" s="672"/>
      <c r="F358" s="709"/>
      <c r="G358" s="564"/>
      <c r="H358" s="564"/>
      <c r="I358" s="564"/>
      <c r="J358" s="564"/>
      <c r="K358" s="564"/>
      <c r="L358" s="564"/>
      <c r="M358" s="564"/>
      <c r="N358" s="564"/>
      <c r="O358" s="564"/>
      <c r="P358" s="564"/>
      <c r="Q358" s="564"/>
      <c r="R358" s="564"/>
      <c r="S358" s="438"/>
      <c r="T358" s="438"/>
      <c r="U358" s="438">
        <f t="shared" si="3"/>
        <v>1</v>
      </c>
      <c r="V358" s="564"/>
      <c r="W358" s="564"/>
      <c r="X358" s="564"/>
      <c r="Y358" s="564"/>
      <c r="Z358" s="564"/>
      <c r="AA358" s="564"/>
      <c r="AB358" s="564"/>
      <c r="AC358" s="564"/>
      <c r="AD358" s="564"/>
      <c r="AE358" s="564"/>
      <c r="AF358" s="564"/>
      <c r="AG358" s="564"/>
      <c r="AH358" s="564"/>
      <c r="AI358" s="564"/>
    </row>
    <row r="359">
      <c r="B359" s="670" t="s">
        <v>3270</v>
      </c>
      <c r="C359" s="568" t="s">
        <v>4228</v>
      </c>
      <c r="D359" s="671" t="s">
        <v>4201</v>
      </c>
      <c r="E359" s="673" t="s">
        <v>3728</v>
      </c>
      <c r="F359" s="710"/>
      <c r="G359" s="438">
        <v>8.0</v>
      </c>
      <c r="H359" s="438">
        <v>9.0</v>
      </c>
      <c r="I359" s="564"/>
      <c r="J359" s="564"/>
      <c r="K359" s="564"/>
      <c r="L359" s="564"/>
      <c r="M359" s="564"/>
      <c r="N359" s="564"/>
      <c r="O359" s="564"/>
      <c r="P359" s="564"/>
      <c r="Q359" s="564"/>
      <c r="R359" s="564"/>
      <c r="S359" s="438"/>
      <c r="T359" s="438"/>
      <c r="U359" s="438" t="str">
        <f t="shared" si="3"/>
        <v/>
      </c>
      <c r="V359" s="564"/>
      <c r="W359" s="564"/>
      <c r="X359" s="564"/>
      <c r="Y359" s="564"/>
      <c r="Z359" s="564"/>
      <c r="AA359" s="564"/>
      <c r="AB359" s="564"/>
      <c r="AC359" s="564"/>
      <c r="AD359" s="564"/>
      <c r="AE359" s="564"/>
      <c r="AF359" s="564"/>
      <c r="AG359" s="564"/>
      <c r="AH359" s="564"/>
      <c r="AI359" s="564"/>
    </row>
    <row r="360">
      <c r="B360" s="670" t="s">
        <v>3497</v>
      </c>
      <c r="C360" s="438" t="s">
        <v>4136</v>
      </c>
      <c r="D360" s="671" t="s">
        <v>4229</v>
      </c>
      <c r="E360" s="672"/>
      <c r="F360" s="709"/>
      <c r="G360" s="564"/>
      <c r="H360" s="564"/>
      <c r="I360" s="564"/>
      <c r="J360" s="564"/>
      <c r="K360" s="564"/>
      <c r="L360" s="564"/>
      <c r="M360" s="564"/>
      <c r="N360" s="564"/>
      <c r="O360" s="564"/>
      <c r="P360" s="564"/>
      <c r="Q360" s="564"/>
      <c r="R360" s="564"/>
      <c r="S360" s="438"/>
      <c r="T360" s="438"/>
      <c r="U360" s="438">
        <f t="shared" si="3"/>
        <v>1</v>
      </c>
      <c r="V360" s="564"/>
      <c r="W360" s="564"/>
      <c r="X360" s="564"/>
      <c r="Y360" s="564"/>
      <c r="Z360" s="564"/>
      <c r="AA360" s="564"/>
      <c r="AB360" s="564"/>
      <c r="AC360" s="564"/>
      <c r="AD360" s="564"/>
      <c r="AE360" s="564"/>
      <c r="AF360" s="564"/>
      <c r="AG360" s="564"/>
      <c r="AH360" s="564"/>
      <c r="AI360" s="564"/>
    </row>
    <row r="361">
      <c r="B361" s="670" t="s">
        <v>3493</v>
      </c>
      <c r="C361" s="438" t="s">
        <v>4136</v>
      </c>
      <c r="D361" s="671" t="s">
        <v>4230</v>
      </c>
      <c r="E361" s="672"/>
      <c r="F361" s="709"/>
      <c r="G361" s="564"/>
      <c r="H361" s="564"/>
      <c r="I361" s="564"/>
      <c r="J361" s="564"/>
      <c r="K361" s="564"/>
      <c r="L361" s="564"/>
      <c r="M361" s="564"/>
      <c r="N361" s="564"/>
      <c r="O361" s="564"/>
      <c r="P361" s="564"/>
      <c r="Q361" s="564"/>
      <c r="R361" s="564"/>
      <c r="S361" s="438"/>
      <c r="T361" s="438"/>
      <c r="U361" s="438">
        <f t="shared" si="3"/>
        <v>1</v>
      </c>
      <c r="V361" s="564"/>
      <c r="W361" s="564"/>
      <c r="X361" s="564"/>
      <c r="Y361" s="564"/>
      <c r="Z361" s="564"/>
      <c r="AA361" s="564"/>
      <c r="AB361" s="564"/>
      <c r="AC361" s="564"/>
      <c r="AD361" s="564"/>
      <c r="AE361" s="564"/>
      <c r="AF361" s="564"/>
      <c r="AG361" s="564"/>
      <c r="AH361" s="564"/>
      <c r="AI361" s="564"/>
    </row>
    <row r="362">
      <c r="B362" s="670" t="s">
        <v>3489</v>
      </c>
      <c r="C362" s="438" t="s">
        <v>4136</v>
      </c>
      <c r="D362" s="671" t="s">
        <v>4231</v>
      </c>
      <c r="E362" s="672"/>
      <c r="F362" s="709"/>
      <c r="G362" s="564"/>
      <c r="H362" s="564"/>
      <c r="I362" s="564"/>
      <c r="J362" s="564"/>
      <c r="K362" s="564"/>
      <c r="L362" s="564"/>
      <c r="M362" s="564"/>
      <c r="N362" s="564"/>
      <c r="O362" s="564"/>
      <c r="P362" s="564"/>
      <c r="Q362" s="564"/>
      <c r="R362" s="564"/>
      <c r="S362" s="438"/>
      <c r="T362" s="438"/>
      <c r="U362" s="438">
        <f t="shared" si="3"/>
        <v>1</v>
      </c>
      <c r="V362" s="564"/>
      <c r="W362" s="564"/>
      <c r="X362" s="564"/>
      <c r="Y362" s="564"/>
      <c r="Z362" s="564"/>
      <c r="AA362" s="564"/>
      <c r="AB362" s="564"/>
      <c r="AC362" s="564"/>
      <c r="AD362" s="564"/>
      <c r="AE362" s="564"/>
      <c r="AF362" s="564"/>
      <c r="AG362" s="564"/>
      <c r="AH362" s="564"/>
      <c r="AI362" s="564"/>
    </row>
    <row r="363">
      <c r="B363" s="670" t="s">
        <v>3264</v>
      </c>
      <c r="C363" s="341" t="s">
        <v>4136</v>
      </c>
      <c r="D363" s="671" t="s">
        <v>4232</v>
      </c>
      <c r="E363" s="672"/>
      <c r="F363" s="709"/>
      <c r="G363" s="564"/>
      <c r="H363" s="564"/>
      <c r="I363" s="564"/>
      <c r="J363" s="564"/>
      <c r="K363" s="564"/>
      <c r="L363" s="564"/>
      <c r="M363" s="564"/>
      <c r="N363" s="564"/>
      <c r="O363" s="564"/>
      <c r="P363" s="564"/>
      <c r="Q363" s="564"/>
      <c r="R363" s="564"/>
      <c r="S363" s="438"/>
      <c r="T363" s="438"/>
      <c r="U363" s="438">
        <f t="shared" si="3"/>
        <v>1</v>
      </c>
      <c r="V363" s="564"/>
      <c r="W363" s="564"/>
      <c r="X363" s="564"/>
      <c r="Y363" s="564"/>
      <c r="Z363" s="564"/>
      <c r="AA363" s="564"/>
      <c r="AB363" s="564"/>
      <c r="AC363" s="564"/>
      <c r="AD363" s="564"/>
      <c r="AE363" s="564"/>
      <c r="AF363" s="564"/>
      <c r="AG363" s="564"/>
      <c r="AH363" s="564"/>
      <c r="AI363" s="564"/>
    </row>
    <row r="364">
      <c r="B364" s="670" t="s">
        <v>3482</v>
      </c>
      <c r="C364" s="341" t="s">
        <v>4136</v>
      </c>
      <c r="D364" s="671" t="s">
        <v>4233</v>
      </c>
      <c r="E364" s="672"/>
      <c r="F364" s="709"/>
      <c r="G364" s="564"/>
      <c r="H364" s="564"/>
      <c r="I364" s="564"/>
      <c r="J364" s="564"/>
      <c r="K364" s="564"/>
      <c r="L364" s="564"/>
      <c r="M364" s="564"/>
      <c r="N364" s="564"/>
      <c r="O364" s="564"/>
      <c r="P364" s="564"/>
      <c r="Q364" s="564"/>
      <c r="R364" s="564"/>
      <c r="S364" s="438"/>
      <c r="T364" s="438"/>
      <c r="U364" s="438">
        <f t="shared" si="3"/>
        <v>1</v>
      </c>
      <c r="V364" s="564"/>
      <c r="W364" s="564"/>
      <c r="X364" s="564"/>
      <c r="Y364" s="564"/>
      <c r="Z364" s="564"/>
      <c r="AA364" s="564"/>
      <c r="AB364" s="564"/>
      <c r="AC364" s="564"/>
      <c r="AD364" s="564"/>
      <c r="AE364" s="564"/>
      <c r="AF364" s="564"/>
      <c r="AG364" s="564"/>
      <c r="AH364" s="564"/>
      <c r="AI364" s="564"/>
    </row>
    <row r="365">
      <c r="B365" s="670" t="s">
        <v>3478</v>
      </c>
      <c r="C365" s="341" t="s">
        <v>4136</v>
      </c>
      <c r="D365" s="671" t="s">
        <v>4234</v>
      </c>
      <c r="E365" s="672"/>
      <c r="F365" s="709"/>
      <c r="G365" s="564"/>
      <c r="H365" s="564"/>
      <c r="I365" s="564"/>
      <c r="J365" s="564"/>
      <c r="K365" s="564"/>
      <c r="L365" s="564"/>
      <c r="M365" s="564"/>
      <c r="N365" s="564"/>
      <c r="O365" s="564"/>
      <c r="P365" s="564"/>
      <c r="Q365" s="564"/>
      <c r="R365" s="564"/>
      <c r="S365" s="438"/>
      <c r="T365" s="438"/>
      <c r="U365" s="438">
        <f t="shared" si="3"/>
        <v>1</v>
      </c>
      <c r="V365" s="564"/>
      <c r="W365" s="564"/>
      <c r="X365" s="564"/>
      <c r="Y365" s="564"/>
      <c r="Z365" s="564"/>
      <c r="AA365" s="564"/>
      <c r="AB365" s="564"/>
      <c r="AC365" s="564"/>
      <c r="AD365" s="564"/>
      <c r="AE365" s="564"/>
      <c r="AF365" s="564"/>
      <c r="AG365" s="564"/>
      <c r="AH365" s="564"/>
      <c r="AI365" s="564"/>
    </row>
    <row r="366">
      <c r="B366" s="670" t="s">
        <v>3474</v>
      </c>
      <c r="C366" s="438" t="s">
        <v>4136</v>
      </c>
      <c r="D366" s="671" t="s">
        <v>4235</v>
      </c>
      <c r="E366" s="672"/>
      <c r="F366" s="709"/>
      <c r="G366" s="564"/>
      <c r="H366" s="564"/>
      <c r="I366" s="564"/>
      <c r="J366" s="564"/>
      <c r="K366" s="564"/>
      <c r="L366" s="564"/>
      <c r="M366" s="564"/>
      <c r="N366" s="564"/>
      <c r="O366" s="564"/>
      <c r="P366" s="564"/>
      <c r="Q366" s="564"/>
      <c r="R366" s="564"/>
      <c r="S366" s="438"/>
      <c r="T366" s="438"/>
      <c r="U366" s="438">
        <f t="shared" si="3"/>
        <v>1</v>
      </c>
      <c r="V366" s="564"/>
      <c r="W366" s="564"/>
      <c r="X366" s="564"/>
      <c r="Y366" s="564"/>
      <c r="Z366" s="564"/>
      <c r="AA366" s="564"/>
      <c r="AB366" s="564"/>
      <c r="AC366" s="564"/>
      <c r="AD366" s="564"/>
      <c r="AE366" s="564"/>
      <c r="AF366" s="564"/>
      <c r="AG366" s="564"/>
      <c r="AH366" s="564"/>
      <c r="AI366" s="564"/>
    </row>
    <row r="367">
      <c r="B367" s="670" t="s">
        <v>3470</v>
      </c>
      <c r="C367" s="341" t="s">
        <v>4136</v>
      </c>
      <c r="D367" s="671" t="s">
        <v>4236</v>
      </c>
      <c r="E367" s="672"/>
      <c r="F367" s="709"/>
      <c r="G367" s="564"/>
      <c r="H367" s="564"/>
      <c r="I367" s="564"/>
      <c r="J367" s="564"/>
      <c r="K367" s="564"/>
      <c r="L367" s="564"/>
      <c r="M367" s="564"/>
      <c r="N367" s="564"/>
      <c r="O367" s="564"/>
      <c r="P367" s="564"/>
      <c r="Q367" s="564"/>
      <c r="R367" s="564"/>
      <c r="S367" s="438"/>
      <c r="T367" s="438"/>
      <c r="U367" s="438">
        <f t="shared" si="3"/>
        <v>1</v>
      </c>
      <c r="V367" s="564"/>
      <c r="W367" s="564"/>
      <c r="X367" s="564"/>
      <c r="Y367" s="564"/>
      <c r="Z367" s="564"/>
      <c r="AA367" s="564"/>
      <c r="AB367" s="564"/>
      <c r="AC367" s="564"/>
      <c r="AD367" s="564"/>
      <c r="AE367" s="564"/>
      <c r="AF367" s="564"/>
      <c r="AG367" s="564"/>
      <c r="AH367" s="564"/>
      <c r="AI367" s="564"/>
    </row>
    <row r="368">
      <c r="B368" s="670" t="s">
        <v>3466</v>
      </c>
      <c r="C368" s="341" t="s">
        <v>4136</v>
      </c>
      <c r="D368" s="671" t="s">
        <v>4237</v>
      </c>
      <c r="E368" s="672"/>
      <c r="F368" s="709"/>
      <c r="G368" s="564"/>
      <c r="H368" s="564"/>
      <c r="I368" s="564"/>
      <c r="J368" s="564"/>
      <c r="K368" s="564"/>
      <c r="L368" s="564"/>
      <c r="M368" s="564"/>
      <c r="N368" s="564"/>
      <c r="O368" s="564"/>
      <c r="P368" s="564"/>
      <c r="Q368" s="564"/>
      <c r="R368" s="564"/>
      <c r="S368" s="438"/>
      <c r="T368" s="438"/>
      <c r="U368" s="438">
        <f t="shared" si="3"/>
        <v>1</v>
      </c>
      <c r="V368" s="564"/>
      <c r="W368" s="564"/>
      <c r="X368" s="564"/>
      <c r="Y368" s="564"/>
      <c r="Z368" s="564"/>
      <c r="AA368" s="564"/>
      <c r="AB368" s="564"/>
      <c r="AC368" s="564"/>
      <c r="AD368" s="564"/>
      <c r="AE368" s="564"/>
      <c r="AF368" s="564"/>
      <c r="AG368" s="564"/>
      <c r="AH368" s="564"/>
      <c r="AI368" s="564"/>
    </row>
    <row r="369">
      <c r="B369" s="670" t="s">
        <v>3262</v>
      </c>
      <c r="C369" s="341" t="s">
        <v>4136</v>
      </c>
      <c r="D369" s="671" t="s">
        <v>4238</v>
      </c>
      <c r="E369" s="672"/>
      <c r="F369" s="709"/>
      <c r="G369" s="564"/>
      <c r="H369" s="564"/>
      <c r="I369" s="564"/>
      <c r="J369" s="564"/>
      <c r="K369" s="564"/>
      <c r="L369" s="564"/>
      <c r="M369" s="564"/>
      <c r="N369" s="564"/>
      <c r="O369" s="564"/>
      <c r="P369" s="564"/>
      <c r="Q369" s="564"/>
      <c r="R369" s="564"/>
      <c r="S369" s="438"/>
      <c r="T369" s="438"/>
      <c r="U369" s="438">
        <f t="shared" si="3"/>
        <v>1</v>
      </c>
      <c r="V369" s="564"/>
      <c r="W369" s="564"/>
      <c r="X369" s="564"/>
      <c r="Y369" s="564"/>
      <c r="Z369" s="564"/>
      <c r="AA369" s="564"/>
      <c r="AB369" s="564"/>
      <c r="AC369" s="564"/>
      <c r="AD369" s="564"/>
      <c r="AE369" s="564"/>
      <c r="AF369" s="564"/>
      <c r="AG369" s="564"/>
      <c r="AH369" s="564"/>
      <c r="AI369" s="564"/>
    </row>
    <row r="370">
      <c r="B370" s="670" t="s">
        <v>3459</v>
      </c>
      <c r="C370" s="341" t="s">
        <v>4136</v>
      </c>
      <c r="D370" s="671" t="s">
        <v>4239</v>
      </c>
      <c r="E370" s="672"/>
      <c r="F370" s="709"/>
      <c r="G370" s="564"/>
      <c r="H370" s="564"/>
      <c r="I370" s="564"/>
      <c r="J370" s="564"/>
      <c r="K370" s="564"/>
      <c r="L370" s="564"/>
      <c r="M370" s="564"/>
      <c r="N370" s="564"/>
      <c r="O370" s="564"/>
      <c r="P370" s="564"/>
      <c r="Q370" s="564"/>
      <c r="R370" s="564"/>
      <c r="S370" s="438"/>
      <c r="T370" s="438"/>
      <c r="U370" s="438">
        <f t="shared" si="3"/>
        <v>1</v>
      </c>
      <c r="V370" s="564"/>
      <c r="W370" s="564"/>
      <c r="X370" s="564"/>
      <c r="Y370" s="564"/>
      <c r="Z370" s="564"/>
      <c r="AA370" s="564"/>
      <c r="AB370" s="564"/>
      <c r="AC370" s="564"/>
      <c r="AD370" s="564"/>
      <c r="AE370" s="564"/>
      <c r="AF370" s="564"/>
      <c r="AG370" s="564"/>
      <c r="AH370" s="564"/>
      <c r="AI370" s="564"/>
    </row>
    <row r="371">
      <c r="B371" s="670" t="s">
        <v>3455</v>
      </c>
      <c r="C371" s="341" t="s">
        <v>4136</v>
      </c>
      <c r="D371" s="671" t="s">
        <v>4240</v>
      </c>
      <c r="E371" s="672"/>
      <c r="F371" s="709"/>
      <c r="G371" s="564"/>
      <c r="H371" s="564"/>
      <c r="I371" s="564"/>
      <c r="J371" s="564"/>
      <c r="K371" s="564"/>
      <c r="L371" s="564"/>
      <c r="M371" s="564"/>
      <c r="N371" s="564"/>
      <c r="O371" s="564"/>
      <c r="P371" s="564"/>
      <c r="Q371" s="564"/>
      <c r="R371" s="564"/>
      <c r="S371" s="438"/>
      <c r="T371" s="438"/>
      <c r="U371" s="438">
        <f t="shared" si="3"/>
        <v>1</v>
      </c>
      <c r="V371" s="564"/>
      <c r="W371" s="564"/>
      <c r="X371" s="564"/>
      <c r="Y371" s="564"/>
      <c r="Z371" s="564"/>
      <c r="AA371" s="564"/>
      <c r="AB371" s="564"/>
      <c r="AC371" s="564"/>
      <c r="AD371" s="564"/>
      <c r="AE371" s="564"/>
      <c r="AF371" s="564"/>
      <c r="AG371" s="564"/>
      <c r="AH371" s="564"/>
      <c r="AI371" s="564"/>
    </row>
    <row r="372">
      <c r="B372" s="670" t="s">
        <v>3451</v>
      </c>
      <c r="C372" s="438" t="s">
        <v>4136</v>
      </c>
      <c r="D372" s="671" t="s">
        <v>4241</v>
      </c>
      <c r="E372" s="672"/>
      <c r="F372" s="709"/>
      <c r="G372" s="564"/>
      <c r="H372" s="564"/>
      <c r="I372" s="564"/>
      <c r="J372" s="564"/>
      <c r="K372" s="564"/>
      <c r="L372" s="564"/>
      <c r="M372" s="564"/>
      <c r="N372" s="564"/>
      <c r="O372" s="564"/>
      <c r="P372" s="564"/>
      <c r="Q372" s="564"/>
      <c r="R372" s="564"/>
      <c r="S372" s="438"/>
      <c r="T372" s="438"/>
      <c r="U372" s="438">
        <f t="shared" si="3"/>
        <v>1</v>
      </c>
      <c r="V372" s="564"/>
      <c r="W372" s="564"/>
      <c r="X372" s="564"/>
      <c r="Y372" s="564"/>
      <c r="Z372" s="564"/>
      <c r="AA372" s="564"/>
      <c r="AB372" s="564"/>
      <c r="AC372" s="564"/>
      <c r="AD372" s="564"/>
      <c r="AE372" s="564"/>
      <c r="AF372" s="564"/>
      <c r="AG372" s="564"/>
      <c r="AH372" s="564"/>
      <c r="AI372" s="564"/>
    </row>
    <row r="373">
      <c r="B373" s="670" t="s">
        <v>3447</v>
      </c>
      <c r="C373" s="341" t="s">
        <v>4136</v>
      </c>
      <c r="D373" s="671" t="s">
        <v>4242</v>
      </c>
      <c r="E373" s="672"/>
      <c r="F373" s="709"/>
      <c r="G373" s="564"/>
      <c r="H373" s="564"/>
      <c r="I373" s="564"/>
      <c r="J373" s="564"/>
      <c r="K373" s="564"/>
      <c r="L373" s="564"/>
      <c r="M373" s="564"/>
      <c r="N373" s="564"/>
      <c r="O373" s="564"/>
      <c r="P373" s="564"/>
      <c r="Q373" s="564"/>
      <c r="R373" s="564"/>
      <c r="S373" s="438"/>
      <c r="T373" s="438"/>
      <c r="U373" s="438">
        <f t="shared" si="3"/>
        <v>1</v>
      </c>
      <c r="V373" s="564"/>
      <c r="W373" s="564"/>
      <c r="X373" s="564"/>
      <c r="Y373" s="564"/>
      <c r="Z373" s="564"/>
      <c r="AA373" s="564"/>
      <c r="AB373" s="564"/>
      <c r="AC373" s="564"/>
      <c r="AD373" s="564"/>
      <c r="AE373" s="564"/>
      <c r="AF373" s="564"/>
      <c r="AG373" s="564"/>
      <c r="AH373" s="564"/>
      <c r="AI373" s="564"/>
    </row>
    <row r="374">
      <c r="B374" s="670" t="s">
        <v>3443</v>
      </c>
      <c r="C374" s="438" t="s">
        <v>4136</v>
      </c>
      <c r="D374" s="671" t="s">
        <v>4243</v>
      </c>
      <c r="E374" s="672"/>
      <c r="F374" s="709"/>
      <c r="G374" s="564"/>
      <c r="H374" s="564"/>
      <c r="I374" s="564"/>
      <c r="J374" s="564"/>
      <c r="K374" s="564"/>
      <c r="L374" s="564"/>
      <c r="M374" s="564"/>
      <c r="N374" s="564"/>
      <c r="O374" s="564"/>
      <c r="P374" s="564"/>
      <c r="Q374" s="564"/>
      <c r="R374" s="564"/>
      <c r="S374" s="438"/>
      <c r="T374" s="438"/>
      <c r="U374" s="438">
        <f t="shared" si="3"/>
        <v>1</v>
      </c>
      <c r="V374" s="564"/>
      <c r="W374" s="564"/>
      <c r="X374" s="564"/>
      <c r="Y374" s="564"/>
      <c r="Z374" s="564"/>
      <c r="AA374" s="564"/>
      <c r="AB374" s="564"/>
      <c r="AC374" s="564"/>
      <c r="AD374" s="564"/>
      <c r="AE374" s="564"/>
      <c r="AF374" s="564"/>
      <c r="AG374" s="564"/>
      <c r="AH374" s="564"/>
      <c r="AI374" s="564"/>
    </row>
    <row r="375">
      <c r="B375" s="670" t="s">
        <v>3439</v>
      </c>
      <c r="C375" s="341" t="s">
        <v>4136</v>
      </c>
      <c r="D375" s="671" t="s">
        <v>4244</v>
      </c>
      <c r="E375" s="672"/>
      <c r="F375" s="709"/>
      <c r="G375" s="564"/>
      <c r="H375" s="564"/>
      <c r="I375" s="564"/>
      <c r="J375" s="564"/>
      <c r="K375" s="564"/>
      <c r="L375" s="564"/>
      <c r="M375" s="564"/>
      <c r="N375" s="564"/>
      <c r="O375" s="564"/>
      <c r="P375" s="564"/>
      <c r="Q375" s="564"/>
      <c r="R375" s="564"/>
      <c r="S375" s="438"/>
      <c r="T375" s="438"/>
      <c r="U375" s="438">
        <f t="shared" si="3"/>
        <v>1</v>
      </c>
      <c r="V375" s="564"/>
      <c r="W375" s="564"/>
      <c r="X375" s="564"/>
      <c r="Y375" s="564"/>
      <c r="Z375" s="564"/>
      <c r="AA375" s="564"/>
      <c r="AB375" s="564"/>
      <c r="AC375" s="564"/>
      <c r="AD375" s="564"/>
      <c r="AE375" s="564"/>
      <c r="AF375" s="564"/>
      <c r="AG375" s="564"/>
      <c r="AH375" s="564"/>
      <c r="AI375" s="564"/>
    </row>
    <row r="376">
      <c r="B376" s="670" t="s">
        <v>3435</v>
      </c>
      <c r="C376" s="438" t="s">
        <v>4136</v>
      </c>
      <c r="D376" s="671" t="s">
        <v>4245</v>
      </c>
      <c r="E376" s="672"/>
      <c r="F376" s="709"/>
      <c r="G376" s="564"/>
      <c r="H376" s="564"/>
      <c r="I376" s="564"/>
      <c r="J376" s="564"/>
      <c r="K376" s="564"/>
      <c r="L376" s="564"/>
      <c r="M376" s="564"/>
      <c r="N376" s="564"/>
      <c r="O376" s="564"/>
      <c r="P376" s="564"/>
      <c r="Q376" s="564"/>
      <c r="R376" s="564"/>
      <c r="S376" s="438"/>
      <c r="T376" s="438"/>
      <c r="U376" s="438">
        <f t="shared" si="3"/>
        <v>1</v>
      </c>
      <c r="V376" s="564"/>
      <c r="W376" s="564"/>
      <c r="X376" s="564"/>
      <c r="Y376" s="564"/>
      <c r="Z376" s="564"/>
      <c r="AA376" s="564"/>
      <c r="AB376" s="564"/>
      <c r="AC376" s="564"/>
      <c r="AD376" s="564"/>
      <c r="AE376" s="564"/>
      <c r="AF376" s="564"/>
      <c r="AG376" s="564"/>
      <c r="AH376" s="564"/>
      <c r="AI376" s="564"/>
    </row>
    <row r="377">
      <c r="B377" s="670" t="s">
        <v>3432</v>
      </c>
      <c r="C377" s="341" t="s">
        <v>4136</v>
      </c>
      <c r="D377" s="671" t="s">
        <v>4246</v>
      </c>
      <c r="E377" s="672"/>
      <c r="F377" s="709"/>
      <c r="G377" s="564"/>
      <c r="H377" s="564"/>
      <c r="I377" s="564"/>
      <c r="J377" s="564"/>
      <c r="K377" s="564"/>
      <c r="L377" s="564"/>
      <c r="M377" s="564"/>
      <c r="N377" s="564"/>
      <c r="O377" s="564"/>
      <c r="P377" s="564"/>
      <c r="Q377" s="564"/>
      <c r="R377" s="564"/>
      <c r="S377" s="438"/>
      <c r="T377" s="438"/>
      <c r="U377" s="438">
        <f t="shared" si="3"/>
        <v>1</v>
      </c>
      <c r="V377" s="564"/>
      <c r="W377" s="564"/>
      <c r="X377" s="564"/>
      <c r="Y377" s="564"/>
      <c r="Z377" s="564"/>
      <c r="AA377" s="564"/>
      <c r="AB377" s="564"/>
      <c r="AC377" s="564"/>
      <c r="AD377" s="564"/>
      <c r="AE377" s="564"/>
      <c r="AF377" s="564"/>
      <c r="AG377" s="564"/>
      <c r="AH377" s="564"/>
      <c r="AI377" s="564"/>
    </row>
    <row r="378">
      <c r="B378" s="670" t="s">
        <v>3428</v>
      </c>
      <c r="C378" s="438" t="s">
        <v>4136</v>
      </c>
      <c r="D378" s="671" t="s">
        <v>4247</v>
      </c>
      <c r="E378" s="672"/>
      <c r="F378" s="709"/>
      <c r="G378" s="564"/>
      <c r="H378" s="564"/>
      <c r="I378" s="564"/>
      <c r="J378" s="564"/>
      <c r="K378" s="564"/>
      <c r="L378" s="564"/>
      <c r="M378" s="564"/>
      <c r="N378" s="564"/>
      <c r="O378" s="564"/>
      <c r="P378" s="564"/>
      <c r="Q378" s="564"/>
      <c r="R378" s="564"/>
      <c r="S378" s="438"/>
      <c r="T378" s="438"/>
      <c r="U378" s="438">
        <f t="shared" si="3"/>
        <v>1</v>
      </c>
      <c r="V378" s="564"/>
      <c r="W378" s="564"/>
      <c r="X378" s="564"/>
      <c r="Y378" s="564"/>
      <c r="Z378" s="564"/>
      <c r="AA378" s="564"/>
      <c r="AB378" s="564"/>
      <c r="AC378" s="564"/>
      <c r="AD378" s="564"/>
      <c r="AE378" s="564"/>
      <c r="AF378" s="564"/>
      <c r="AG378" s="564"/>
      <c r="AH378" s="564"/>
      <c r="AI378" s="564"/>
    </row>
    <row r="379">
      <c r="B379" s="670" t="s">
        <v>3424</v>
      </c>
      <c r="C379" s="341" t="s">
        <v>4136</v>
      </c>
      <c r="D379" s="671" t="s">
        <v>4248</v>
      </c>
      <c r="E379" s="672"/>
      <c r="F379" s="709"/>
      <c r="G379" s="564"/>
      <c r="H379" s="564"/>
      <c r="I379" s="564"/>
      <c r="J379" s="564"/>
      <c r="K379" s="564"/>
      <c r="L379" s="564"/>
      <c r="M379" s="564"/>
      <c r="N379" s="564"/>
      <c r="O379" s="564"/>
      <c r="P379" s="564"/>
      <c r="Q379" s="564"/>
      <c r="R379" s="564"/>
      <c r="S379" s="438"/>
      <c r="T379" s="438"/>
      <c r="U379" s="438">
        <f t="shared" si="3"/>
        <v>1</v>
      </c>
      <c r="V379" s="564"/>
      <c r="W379" s="564"/>
      <c r="X379" s="564"/>
      <c r="Y379" s="564"/>
      <c r="Z379" s="564"/>
      <c r="AA379" s="564"/>
      <c r="AB379" s="564"/>
      <c r="AC379" s="564"/>
      <c r="AD379" s="564"/>
      <c r="AE379" s="564"/>
      <c r="AF379" s="564"/>
      <c r="AG379" s="564"/>
      <c r="AH379" s="564"/>
      <c r="AI379" s="564"/>
    </row>
    <row r="380">
      <c r="B380" s="670" t="s">
        <v>3420</v>
      </c>
      <c r="C380" s="438" t="s">
        <v>4136</v>
      </c>
      <c r="D380" s="671" t="s">
        <v>4249</v>
      </c>
      <c r="E380" s="672"/>
      <c r="F380" s="709"/>
      <c r="G380" s="564"/>
      <c r="H380" s="564"/>
      <c r="I380" s="564"/>
      <c r="J380" s="564"/>
      <c r="K380" s="564"/>
      <c r="L380" s="564"/>
      <c r="M380" s="564"/>
      <c r="N380" s="564"/>
      <c r="O380" s="564"/>
      <c r="P380" s="564"/>
      <c r="Q380" s="564"/>
      <c r="R380" s="564"/>
      <c r="S380" s="438"/>
      <c r="T380" s="438"/>
      <c r="U380" s="438">
        <f t="shared" si="3"/>
        <v>1</v>
      </c>
      <c r="V380" s="564"/>
      <c r="W380" s="564"/>
      <c r="X380" s="564"/>
      <c r="Y380" s="564"/>
      <c r="Z380" s="564"/>
      <c r="AA380" s="564"/>
      <c r="AB380" s="564"/>
      <c r="AC380" s="564"/>
      <c r="AD380" s="564"/>
      <c r="AE380" s="564"/>
      <c r="AF380" s="564"/>
      <c r="AG380" s="564"/>
      <c r="AH380" s="564"/>
      <c r="AI380" s="564"/>
    </row>
    <row r="381">
      <c r="B381" s="670" t="s">
        <v>3416</v>
      </c>
      <c r="C381" s="341" t="s">
        <v>4136</v>
      </c>
      <c r="D381" s="671" t="s">
        <v>4250</v>
      </c>
      <c r="E381" s="672"/>
      <c r="F381" s="709"/>
      <c r="G381" s="564"/>
      <c r="H381" s="564"/>
      <c r="I381" s="564"/>
      <c r="J381" s="564"/>
      <c r="K381" s="564"/>
      <c r="L381" s="564"/>
      <c r="M381" s="564"/>
      <c r="N381" s="564"/>
      <c r="O381" s="564"/>
      <c r="P381" s="564"/>
      <c r="Q381" s="564"/>
      <c r="R381" s="564"/>
      <c r="S381" s="438"/>
      <c r="T381" s="438"/>
      <c r="U381" s="438">
        <f t="shared" si="3"/>
        <v>1</v>
      </c>
      <c r="V381" s="564"/>
      <c r="W381" s="564"/>
      <c r="X381" s="564"/>
      <c r="Y381" s="564"/>
      <c r="Z381" s="564"/>
      <c r="AA381" s="564"/>
      <c r="AB381" s="564"/>
      <c r="AC381" s="564"/>
      <c r="AD381" s="564"/>
      <c r="AE381" s="564"/>
      <c r="AF381" s="564"/>
      <c r="AG381" s="564"/>
      <c r="AH381" s="564"/>
      <c r="AI381" s="564"/>
    </row>
    <row r="382">
      <c r="B382" s="670" t="s">
        <v>3412</v>
      </c>
      <c r="C382" s="438" t="s">
        <v>4136</v>
      </c>
      <c r="D382" s="671" t="s">
        <v>4251</v>
      </c>
      <c r="E382" s="672"/>
      <c r="F382" s="709"/>
      <c r="G382" s="564"/>
      <c r="H382" s="564"/>
      <c r="I382" s="564"/>
      <c r="J382" s="564"/>
      <c r="K382" s="564"/>
      <c r="L382" s="564"/>
      <c r="M382" s="564"/>
      <c r="N382" s="564"/>
      <c r="O382" s="564"/>
      <c r="P382" s="564"/>
      <c r="Q382" s="564"/>
      <c r="R382" s="564"/>
      <c r="S382" s="438"/>
      <c r="T382" s="438"/>
      <c r="U382" s="438">
        <f t="shared" si="3"/>
        <v>1</v>
      </c>
      <c r="V382" s="564"/>
      <c r="W382" s="564"/>
      <c r="X382" s="564"/>
      <c r="Y382" s="564"/>
      <c r="Z382" s="564"/>
      <c r="AA382" s="564"/>
      <c r="AB382" s="564"/>
      <c r="AC382" s="564"/>
      <c r="AD382" s="564"/>
      <c r="AE382" s="564"/>
      <c r="AF382" s="564"/>
      <c r="AG382" s="564"/>
      <c r="AH382" s="564"/>
      <c r="AI382" s="564"/>
    </row>
    <row r="383">
      <c r="B383" s="670" t="s">
        <v>3408</v>
      </c>
      <c r="C383" s="568" t="s">
        <v>4253</v>
      </c>
      <c r="D383" s="671" t="s">
        <v>4252</v>
      </c>
      <c r="E383" s="673" t="s">
        <v>3728</v>
      </c>
      <c r="F383" s="710"/>
      <c r="G383" s="438">
        <v>2040.0</v>
      </c>
      <c r="H383" s="438">
        <v>1773.0</v>
      </c>
      <c r="I383" s="564"/>
      <c r="J383" s="564"/>
      <c r="K383" s="564"/>
      <c r="L383" s="564"/>
      <c r="M383" s="564"/>
      <c r="N383" s="564"/>
      <c r="O383" s="564"/>
      <c r="P383" s="564"/>
      <c r="Q383" s="564"/>
      <c r="R383" s="564"/>
      <c r="S383" s="438"/>
      <c r="T383" s="438"/>
      <c r="U383" s="438" t="str">
        <f t="shared" si="3"/>
        <v/>
      </c>
      <c r="V383" s="564"/>
      <c r="W383" s="564"/>
      <c r="X383" s="564"/>
      <c r="Y383" s="564"/>
      <c r="Z383" s="564"/>
      <c r="AA383" s="564"/>
      <c r="AB383" s="564"/>
      <c r="AC383" s="564"/>
      <c r="AD383" s="564"/>
      <c r="AE383" s="564"/>
      <c r="AF383" s="564"/>
      <c r="AG383" s="564"/>
      <c r="AH383" s="564"/>
      <c r="AI383" s="564"/>
    </row>
    <row r="384">
      <c r="B384" s="670" t="s">
        <v>3404</v>
      </c>
      <c r="C384" s="341" t="s">
        <v>4136</v>
      </c>
      <c r="D384" s="671" t="s">
        <v>4254</v>
      </c>
      <c r="E384" s="672"/>
      <c r="F384" s="709"/>
      <c r="G384" s="564"/>
      <c r="H384" s="564"/>
      <c r="I384" s="564"/>
      <c r="J384" s="564"/>
      <c r="K384" s="564"/>
      <c r="L384" s="564"/>
      <c r="M384" s="564"/>
      <c r="N384" s="564"/>
      <c r="O384" s="564"/>
      <c r="P384" s="564"/>
      <c r="Q384" s="564"/>
      <c r="R384" s="564"/>
      <c r="S384" s="438"/>
      <c r="T384" s="438"/>
      <c r="U384" s="438">
        <f t="shared" si="3"/>
        <v>1</v>
      </c>
      <c r="V384" s="564"/>
      <c r="W384" s="564"/>
      <c r="X384" s="564"/>
      <c r="Y384" s="564"/>
      <c r="Z384" s="564"/>
      <c r="AA384" s="564"/>
      <c r="AB384" s="564"/>
      <c r="AC384" s="564"/>
      <c r="AD384" s="564"/>
      <c r="AE384" s="564"/>
      <c r="AF384" s="564"/>
      <c r="AG384" s="564"/>
      <c r="AH384" s="564"/>
      <c r="AI384" s="564"/>
    </row>
    <row r="385">
      <c r="B385" s="670" t="s">
        <v>3400</v>
      </c>
      <c r="C385" s="341" t="s">
        <v>4136</v>
      </c>
      <c r="D385" s="671" t="s">
        <v>4255</v>
      </c>
      <c r="E385" s="672"/>
      <c r="F385" s="709"/>
      <c r="G385" s="564"/>
      <c r="H385" s="564"/>
      <c r="I385" s="564"/>
      <c r="J385" s="564"/>
      <c r="K385" s="564"/>
      <c r="L385" s="564"/>
      <c r="M385" s="564"/>
      <c r="N385" s="564"/>
      <c r="O385" s="564"/>
      <c r="P385" s="564"/>
      <c r="Q385" s="564"/>
      <c r="R385" s="564"/>
      <c r="S385" s="438"/>
      <c r="T385" s="438"/>
      <c r="U385" s="438">
        <f t="shared" si="3"/>
        <v>1</v>
      </c>
      <c r="V385" s="564"/>
      <c r="W385" s="564"/>
      <c r="X385" s="564"/>
      <c r="Y385" s="564"/>
      <c r="Z385" s="564"/>
      <c r="AA385" s="564"/>
      <c r="AB385" s="564"/>
      <c r="AC385" s="564"/>
      <c r="AD385" s="564"/>
      <c r="AE385" s="564"/>
      <c r="AF385" s="564"/>
      <c r="AG385" s="564"/>
      <c r="AH385" s="564"/>
      <c r="AI385" s="564"/>
    </row>
    <row r="386">
      <c r="B386" s="670" t="s">
        <v>3396</v>
      </c>
      <c r="C386" s="341" t="s">
        <v>4136</v>
      </c>
      <c r="D386" s="671" t="s">
        <v>4256</v>
      </c>
      <c r="E386" s="672"/>
      <c r="F386" s="709"/>
      <c r="G386" s="564"/>
      <c r="H386" s="564"/>
      <c r="I386" s="564"/>
      <c r="J386" s="564"/>
      <c r="K386" s="564"/>
      <c r="L386" s="564"/>
      <c r="M386" s="564"/>
      <c r="N386" s="564"/>
      <c r="O386" s="564"/>
      <c r="P386" s="564"/>
      <c r="Q386" s="564"/>
      <c r="R386" s="564"/>
      <c r="S386" s="438"/>
      <c r="T386" s="438"/>
      <c r="U386" s="438">
        <f t="shared" si="3"/>
        <v>1</v>
      </c>
      <c r="V386" s="564"/>
      <c r="W386" s="564"/>
      <c r="X386" s="564"/>
      <c r="Y386" s="564"/>
      <c r="Z386" s="564"/>
      <c r="AA386" s="564"/>
      <c r="AB386" s="564"/>
      <c r="AC386" s="564"/>
      <c r="AD386" s="564"/>
      <c r="AE386" s="564"/>
      <c r="AF386" s="564"/>
      <c r="AG386" s="564"/>
      <c r="AH386" s="564"/>
      <c r="AI386" s="564"/>
    </row>
    <row r="387">
      <c r="B387" s="670" t="s">
        <v>3392</v>
      </c>
      <c r="C387" s="341" t="s">
        <v>4136</v>
      </c>
      <c r="D387" s="671" t="s">
        <v>4257</v>
      </c>
      <c r="E387" s="672"/>
      <c r="F387" s="709"/>
      <c r="G387" s="564"/>
      <c r="H387" s="564"/>
      <c r="I387" s="564"/>
      <c r="J387" s="564"/>
      <c r="K387" s="564"/>
      <c r="L387" s="564"/>
      <c r="M387" s="564"/>
      <c r="N387" s="564"/>
      <c r="O387" s="564"/>
      <c r="P387" s="564"/>
      <c r="Q387" s="564"/>
      <c r="R387" s="564"/>
      <c r="S387" s="438"/>
      <c r="T387" s="438"/>
      <c r="U387" s="438">
        <f t="shared" si="3"/>
        <v>1</v>
      </c>
      <c r="V387" s="564"/>
      <c r="W387" s="564"/>
      <c r="X387" s="564"/>
      <c r="Y387" s="564"/>
      <c r="Z387" s="564"/>
      <c r="AA387" s="564"/>
      <c r="AB387" s="564"/>
      <c r="AC387" s="564"/>
      <c r="AD387" s="564"/>
      <c r="AE387" s="564"/>
      <c r="AF387" s="564"/>
      <c r="AG387" s="564"/>
      <c r="AH387" s="564"/>
      <c r="AI387" s="564"/>
    </row>
    <row r="388">
      <c r="B388" s="670" t="s">
        <v>3388</v>
      </c>
      <c r="C388" s="341" t="s">
        <v>4136</v>
      </c>
      <c r="D388" s="671" t="s">
        <v>4258</v>
      </c>
      <c r="E388" s="672"/>
      <c r="F388" s="709"/>
      <c r="G388" s="564"/>
      <c r="H388" s="564"/>
      <c r="I388" s="564"/>
      <c r="J388" s="564"/>
      <c r="K388" s="564"/>
      <c r="L388" s="564"/>
      <c r="M388" s="564"/>
      <c r="N388" s="564"/>
      <c r="O388" s="564"/>
      <c r="P388" s="564"/>
      <c r="Q388" s="564"/>
      <c r="R388" s="564"/>
      <c r="S388" s="438"/>
      <c r="T388" s="438"/>
      <c r="U388" s="438">
        <f t="shared" si="3"/>
        <v>1</v>
      </c>
      <c r="V388" s="564"/>
      <c r="W388" s="564"/>
      <c r="X388" s="564"/>
      <c r="Y388" s="564"/>
      <c r="Z388" s="564"/>
      <c r="AA388" s="564"/>
      <c r="AB388" s="564"/>
      <c r="AC388" s="564"/>
      <c r="AD388" s="564"/>
      <c r="AE388" s="564"/>
      <c r="AF388" s="564"/>
      <c r="AG388" s="564"/>
      <c r="AH388" s="564"/>
      <c r="AI388" s="564"/>
    </row>
    <row r="389">
      <c r="A389" s="679" t="s">
        <v>3276</v>
      </c>
      <c r="B389" s="680" t="s">
        <v>3382</v>
      </c>
      <c r="C389" s="588" t="s">
        <v>4136</v>
      </c>
      <c r="D389" s="681" t="s">
        <v>4259</v>
      </c>
      <c r="E389" s="682"/>
      <c r="F389" s="713"/>
      <c r="G389" s="329"/>
      <c r="H389" s="329"/>
      <c r="I389" s="329"/>
      <c r="J389" s="329"/>
      <c r="K389" s="329"/>
      <c r="L389" s="329"/>
      <c r="M389" s="329"/>
      <c r="N389" s="329"/>
      <c r="O389" s="329"/>
      <c r="P389" s="329"/>
      <c r="Q389" s="329"/>
      <c r="R389" s="329"/>
      <c r="S389" s="588"/>
      <c r="T389" s="588"/>
      <c r="U389" s="588">
        <f t="shared" si="3"/>
        <v>1</v>
      </c>
      <c r="V389" s="329"/>
      <c r="W389" s="329"/>
      <c r="X389" s="329"/>
      <c r="Y389" s="329"/>
      <c r="Z389" s="329"/>
      <c r="AA389" s="329"/>
      <c r="AB389" s="329"/>
      <c r="AC389" s="329"/>
      <c r="AD389" s="329"/>
      <c r="AE389" s="329"/>
      <c r="AF389" s="329"/>
      <c r="AG389" s="329"/>
      <c r="AH389" s="329"/>
      <c r="AI389" s="329"/>
    </row>
    <row r="390">
      <c r="B390" s="680" t="s">
        <v>3377</v>
      </c>
      <c r="C390" s="592" t="s">
        <v>4262</v>
      </c>
      <c r="D390" s="681" t="s">
        <v>4261</v>
      </c>
      <c r="E390" s="682"/>
      <c r="F390" s="713"/>
      <c r="G390" s="588">
        <v>1756.0</v>
      </c>
      <c r="H390" s="588">
        <v>579.0</v>
      </c>
      <c r="I390" s="588">
        <v>1.0</v>
      </c>
      <c r="J390" s="588">
        <v>1.0</v>
      </c>
      <c r="K390" s="588">
        <v>1.0</v>
      </c>
      <c r="L390" s="588">
        <v>1.0</v>
      </c>
      <c r="M390" s="329"/>
      <c r="N390" s="588">
        <v>1.0</v>
      </c>
      <c r="O390" s="329"/>
      <c r="P390" s="588">
        <v>1.0</v>
      </c>
      <c r="Q390" s="329"/>
      <c r="R390" s="588">
        <v>1.0</v>
      </c>
      <c r="S390" s="588"/>
      <c r="T390" s="588"/>
      <c r="U390" s="588" t="str">
        <f t="shared" si="3"/>
        <v/>
      </c>
      <c r="V390" s="329"/>
      <c r="W390" s="329"/>
      <c r="X390" s="329"/>
      <c r="Y390" s="329"/>
      <c r="Z390" s="329"/>
      <c r="AA390" s="329"/>
      <c r="AB390" s="329"/>
      <c r="AC390" s="329"/>
      <c r="AD390" s="329"/>
      <c r="AE390" s="329"/>
      <c r="AF390" s="329"/>
      <c r="AG390" s="329"/>
      <c r="AH390" s="329"/>
      <c r="AI390" s="329"/>
    </row>
    <row r="391">
      <c r="B391" s="680" t="s">
        <v>3372</v>
      </c>
      <c r="C391" s="588" t="s">
        <v>4136</v>
      </c>
      <c r="D391" s="681" t="s">
        <v>4263</v>
      </c>
      <c r="E391" s="682"/>
      <c r="F391" s="713"/>
      <c r="G391" s="329"/>
      <c r="H391" s="329"/>
      <c r="I391" s="329"/>
      <c r="J391" s="329"/>
      <c r="K391" s="329"/>
      <c r="L391" s="329"/>
      <c r="M391" s="329"/>
      <c r="N391" s="329"/>
      <c r="O391" s="329"/>
      <c r="P391" s="329"/>
      <c r="Q391" s="329"/>
      <c r="R391" s="329"/>
      <c r="S391" s="588"/>
      <c r="T391" s="588"/>
      <c r="U391" s="588">
        <f t="shared" si="3"/>
        <v>1</v>
      </c>
      <c r="V391" s="329"/>
      <c r="W391" s="329"/>
      <c r="X391" s="329"/>
      <c r="Y391" s="329"/>
      <c r="Z391" s="329"/>
      <c r="AA391" s="329"/>
      <c r="AB391" s="329"/>
      <c r="AC391" s="329"/>
      <c r="AD391" s="329"/>
      <c r="AE391" s="329"/>
      <c r="AF391" s="329"/>
      <c r="AG391" s="329"/>
      <c r="AH391" s="329"/>
      <c r="AI391" s="329"/>
    </row>
    <row r="392">
      <c r="B392" s="680" t="s">
        <v>3367</v>
      </c>
      <c r="C392" s="592" t="s">
        <v>4266</v>
      </c>
      <c r="D392" s="681" t="s">
        <v>4265</v>
      </c>
      <c r="E392" s="683" t="s">
        <v>3728</v>
      </c>
      <c r="F392" s="712"/>
      <c r="G392" s="588">
        <v>471.0</v>
      </c>
      <c r="H392" s="588">
        <v>97.0</v>
      </c>
      <c r="I392" s="329"/>
      <c r="J392" s="329"/>
      <c r="K392" s="329"/>
      <c r="L392" s="329"/>
      <c r="M392" s="329"/>
      <c r="N392" s="329"/>
      <c r="O392" s="329"/>
      <c r="P392" s="329"/>
      <c r="Q392" s="329"/>
      <c r="R392" s="329"/>
      <c r="S392" s="588"/>
      <c r="T392" s="588"/>
      <c r="U392" s="588" t="str">
        <f t="shared" si="3"/>
        <v/>
      </c>
      <c r="V392" s="329"/>
      <c r="W392" s="329"/>
      <c r="X392" s="329"/>
      <c r="Y392" s="329"/>
      <c r="Z392" s="329"/>
      <c r="AA392" s="329"/>
      <c r="AB392" s="329"/>
      <c r="AC392" s="329"/>
      <c r="AD392" s="329"/>
      <c r="AE392" s="329"/>
      <c r="AF392" s="329"/>
      <c r="AG392" s="329"/>
      <c r="AH392" s="329"/>
      <c r="AI392" s="329"/>
    </row>
    <row r="393">
      <c r="B393" s="680" t="s">
        <v>3355</v>
      </c>
      <c r="C393" s="588" t="s">
        <v>4136</v>
      </c>
      <c r="D393" s="681" t="s">
        <v>4267</v>
      </c>
      <c r="E393" s="682"/>
      <c r="F393" s="713"/>
      <c r="G393" s="329"/>
      <c r="H393" s="329"/>
      <c r="I393" s="329"/>
      <c r="J393" s="329"/>
      <c r="K393" s="329"/>
      <c r="L393" s="329"/>
      <c r="M393" s="329"/>
      <c r="N393" s="329"/>
      <c r="O393" s="329"/>
      <c r="P393" s="329"/>
      <c r="Q393" s="329"/>
      <c r="R393" s="329"/>
      <c r="S393" s="588"/>
      <c r="T393" s="588"/>
      <c r="U393" s="588">
        <f t="shared" si="3"/>
        <v>1</v>
      </c>
      <c r="V393" s="329"/>
      <c r="W393" s="329"/>
      <c r="X393" s="329"/>
      <c r="Y393" s="329"/>
      <c r="Z393" s="329"/>
      <c r="AA393" s="329"/>
      <c r="AB393" s="329"/>
      <c r="AC393" s="329"/>
      <c r="AD393" s="329"/>
      <c r="AE393" s="329"/>
      <c r="AF393" s="329"/>
      <c r="AG393" s="329"/>
      <c r="AH393" s="329"/>
      <c r="AI393" s="329"/>
    </row>
    <row r="394">
      <c r="B394" s="680" t="s">
        <v>3350</v>
      </c>
      <c r="C394" s="592" t="s">
        <v>4270</v>
      </c>
      <c r="D394" s="681" t="s">
        <v>4268</v>
      </c>
      <c r="E394" s="682"/>
      <c r="F394" s="713"/>
      <c r="G394" s="588">
        <v>1133.0</v>
      </c>
      <c r="H394" s="588">
        <v>52.0</v>
      </c>
      <c r="I394" s="588">
        <v>1.0</v>
      </c>
      <c r="J394" s="329"/>
      <c r="K394" s="588">
        <v>1.0</v>
      </c>
      <c r="L394" s="329"/>
      <c r="M394" s="329"/>
      <c r="N394" s="588">
        <v>1.0</v>
      </c>
      <c r="O394" s="588">
        <v>1.0</v>
      </c>
      <c r="P394" s="329"/>
      <c r="Q394" s="329"/>
      <c r="R394" s="329"/>
      <c r="S394" s="588"/>
      <c r="T394" s="588"/>
      <c r="U394" s="588" t="str">
        <f t="shared" si="3"/>
        <v/>
      </c>
      <c r="V394" s="329"/>
      <c r="W394" s="329"/>
      <c r="X394" s="329"/>
      <c r="Y394" s="329"/>
      <c r="Z394" s="329"/>
      <c r="AA394" s="329"/>
      <c r="AB394" s="329"/>
      <c r="AC394" s="329"/>
      <c r="AD394" s="329"/>
      <c r="AE394" s="329"/>
      <c r="AF394" s="329"/>
      <c r="AG394" s="329"/>
      <c r="AH394" s="329"/>
      <c r="AI394" s="329"/>
    </row>
    <row r="395">
      <c r="B395" s="680" t="s">
        <v>3345</v>
      </c>
      <c r="C395" s="588" t="s">
        <v>4136</v>
      </c>
      <c r="D395" s="681" t="s">
        <v>4271</v>
      </c>
      <c r="E395" s="682"/>
      <c r="F395" s="713"/>
      <c r="G395" s="329"/>
      <c r="H395" s="329"/>
      <c r="I395" s="329"/>
      <c r="J395" s="329"/>
      <c r="K395" s="329"/>
      <c r="L395" s="329"/>
      <c r="M395" s="329"/>
      <c r="N395" s="329"/>
      <c r="O395" s="329"/>
      <c r="P395" s="329"/>
      <c r="Q395" s="329"/>
      <c r="R395" s="329"/>
      <c r="S395" s="588"/>
      <c r="T395" s="588"/>
      <c r="U395" s="588">
        <f t="shared" si="3"/>
        <v>1</v>
      </c>
      <c r="V395" s="329"/>
      <c r="W395" s="329"/>
      <c r="X395" s="329"/>
      <c r="Y395" s="329"/>
      <c r="Z395" s="329"/>
      <c r="AA395" s="329"/>
      <c r="AB395" s="329"/>
      <c r="AC395" s="329"/>
      <c r="AD395" s="329"/>
      <c r="AE395" s="329"/>
      <c r="AF395" s="329"/>
      <c r="AG395" s="329"/>
      <c r="AH395" s="329"/>
      <c r="AI395" s="329"/>
    </row>
    <row r="396">
      <c r="B396" s="680" t="s">
        <v>3340</v>
      </c>
      <c r="C396" s="588" t="s">
        <v>4136</v>
      </c>
      <c r="D396" s="681" t="s">
        <v>4272</v>
      </c>
      <c r="E396" s="682"/>
      <c r="F396" s="713"/>
      <c r="G396" s="329"/>
      <c r="H396" s="329"/>
      <c r="I396" s="329"/>
      <c r="J396" s="329"/>
      <c r="K396" s="329"/>
      <c r="L396" s="329"/>
      <c r="M396" s="329"/>
      <c r="N396" s="329"/>
      <c r="O396" s="329"/>
      <c r="P396" s="329"/>
      <c r="Q396" s="329"/>
      <c r="R396" s="329"/>
      <c r="S396" s="588"/>
      <c r="T396" s="588"/>
      <c r="U396" s="588">
        <f t="shared" si="3"/>
        <v>1</v>
      </c>
      <c r="V396" s="329"/>
      <c r="W396" s="329"/>
      <c r="X396" s="329"/>
      <c r="Y396" s="329"/>
      <c r="Z396" s="329"/>
      <c r="AA396" s="329"/>
      <c r="AB396" s="329"/>
      <c r="AC396" s="329"/>
      <c r="AD396" s="329"/>
      <c r="AE396" s="329"/>
      <c r="AF396" s="329"/>
      <c r="AG396" s="329"/>
      <c r="AH396" s="329"/>
      <c r="AI396" s="329"/>
    </row>
    <row r="397">
      <c r="B397" s="680" t="s">
        <v>3335</v>
      </c>
      <c r="C397" s="592" t="s">
        <v>4274</v>
      </c>
      <c r="D397" s="681" t="s">
        <v>4273</v>
      </c>
      <c r="E397" s="682"/>
      <c r="F397" s="713"/>
      <c r="G397" s="588">
        <v>1003.0</v>
      </c>
      <c r="H397" s="588">
        <v>480.0</v>
      </c>
      <c r="I397" s="588">
        <v>1.0</v>
      </c>
      <c r="J397" s="588">
        <v>1.0</v>
      </c>
      <c r="K397" s="588">
        <v>1.0</v>
      </c>
      <c r="L397" s="588">
        <v>1.0</v>
      </c>
      <c r="M397" s="329"/>
      <c r="N397" s="588">
        <v>1.0</v>
      </c>
      <c r="O397" s="588">
        <v>1.0</v>
      </c>
      <c r="P397" s="329"/>
      <c r="Q397" s="329"/>
      <c r="R397" s="588">
        <v>1.0</v>
      </c>
      <c r="S397" s="588"/>
      <c r="T397" s="588">
        <v>1.0</v>
      </c>
      <c r="U397" s="588" t="str">
        <f t="shared" si="3"/>
        <v/>
      </c>
      <c r="V397" s="329"/>
      <c r="W397" s="329"/>
      <c r="X397" s="329"/>
      <c r="Y397" s="329"/>
      <c r="Z397" s="329"/>
      <c r="AA397" s="329"/>
      <c r="AB397" s="329"/>
      <c r="AC397" s="329"/>
      <c r="AD397" s="329"/>
      <c r="AE397" s="329"/>
      <c r="AF397" s="329"/>
      <c r="AG397" s="329"/>
      <c r="AH397" s="329"/>
      <c r="AI397" s="329"/>
    </row>
    <row r="398">
      <c r="B398" s="680" t="s">
        <v>3330</v>
      </c>
      <c r="C398" s="592" t="s">
        <v>4276</v>
      </c>
      <c r="D398" s="681" t="s">
        <v>4275</v>
      </c>
      <c r="E398" s="682"/>
      <c r="F398" s="713"/>
      <c r="G398" s="588">
        <v>1451.0</v>
      </c>
      <c r="H398" s="588">
        <v>917.0</v>
      </c>
      <c r="I398" s="588">
        <v>1.0</v>
      </c>
      <c r="J398" s="588">
        <v>1.0</v>
      </c>
      <c r="K398" s="588">
        <v>1.0</v>
      </c>
      <c r="L398" s="588">
        <v>1.0</v>
      </c>
      <c r="M398" s="329"/>
      <c r="N398" s="588">
        <v>1.0</v>
      </c>
      <c r="O398" s="588">
        <v>1.0</v>
      </c>
      <c r="P398" s="329"/>
      <c r="Q398" s="329"/>
      <c r="R398" s="588">
        <v>1.0</v>
      </c>
      <c r="S398" s="588"/>
      <c r="T398" s="588"/>
      <c r="U398" s="588" t="str">
        <f t="shared" si="3"/>
        <v/>
      </c>
      <c r="V398" s="329"/>
      <c r="W398" s="329"/>
      <c r="X398" s="329"/>
      <c r="Y398" s="329"/>
      <c r="Z398" s="329"/>
      <c r="AA398" s="329"/>
      <c r="AB398" s="329"/>
      <c r="AC398" s="329"/>
      <c r="AD398" s="329"/>
      <c r="AE398" s="329"/>
      <c r="AF398" s="329"/>
      <c r="AG398" s="329"/>
      <c r="AH398" s="329"/>
      <c r="AI398" s="329"/>
    </row>
    <row r="399">
      <c r="B399" s="680" t="s">
        <v>3325</v>
      </c>
      <c r="C399" s="592" t="s">
        <v>4278</v>
      </c>
      <c r="D399" s="681" t="s">
        <v>4277</v>
      </c>
      <c r="E399" s="683" t="s">
        <v>3728</v>
      </c>
      <c r="F399" s="712"/>
      <c r="G399" s="588">
        <v>1231.0</v>
      </c>
      <c r="H399" s="588">
        <v>1619.0</v>
      </c>
      <c r="I399" s="329"/>
      <c r="J399" s="329"/>
      <c r="K399" s="329"/>
      <c r="L399" s="329"/>
      <c r="M399" s="329"/>
      <c r="N399" s="329"/>
      <c r="O399" s="329"/>
      <c r="P399" s="329"/>
      <c r="Q399" s="329"/>
      <c r="R399" s="329"/>
      <c r="S399" s="588"/>
      <c r="T399" s="588"/>
      <c r="U399" s="588" t="str">
        <f t="shared" si="3"/>
        <v/>
      </c>
      <c r="V399" s="329"/>
      <c r="W399" s="329"/>
      <c r="X399" s="329"/>
      <c r="Y399" s="329"/>
      <c r="Z399" s="329"/>
      <c r="AA399" s="329"/>
      <c r="AB399" s="329"/>
      <c r="AC399" s="329"/>
      <c r="AD399" s="329"/>
      <c r="AE399" s="329"/>
      <c r="AF399" s="329"/>
      <c r="AG399" s="329"/>
      <c r="AH399" s="329"/>
      <c r="AI399" s="329"/>
    </row>
    <row r="400">
      <c r="B400" s="680" t="s">
        <v>3320</v>
      </c>
      <c r="C400" s="588" t="s">
        <v>4136</v>
      </c>
      <c r="D400" s="681" t="s">
        <v>3968</v>
      </c>
      <c r="E400" s="682"/>
      <c r="F400" s="713"/>
      <c r="G400" s="329"/>
      <c r="H400" s="329"/>
      <c r="I400" s="329"/>
      <c r="J400" s="329"/>
      <c r="K400" s="329"/>
      <c r="L400" s="329"/>
      <c r="M400" s="329"/>
      <c r="N400" s="329"/>
      <c r="O400" s="588">
        <v>1.0</v>
      </c>
      <c r="P400" s="329"/>
      <c r="Q400" s="329"/>
      <c r="R400" s="329"/>
      <c r="S400" s="588"/>
      <c r="T400" s="588"/>
      <c r="U400" s="588">
        <f t="shared" si="3"/>
        <v>1</v>
      </c>
      <c r="V400" s="329"/>
      <c r="W400" s="329"/>
      <c r="X400" s="329"/>
      <c r="Y400" s="329"/>
      <c r="Z400" s="329"/>
      <c r="AA400" s="329"/>
      <c r="AB400" s="329"/>
      <c r="AC400" s="329"/>
      <c r="AD400" s="329"/>
      <c r="AE400" s="329"/>
      <c r="AF400" s="329"/>
      <c r="AG400" s="329"/>
      <c r="AH400" s="329"/>
      <c r="AI400" s="329"/>
    </row>
    <row r="401">
      <c r="B401" s="680" t="s">
        <v>3315</v>
      </c>
      <c r="C401" s="588" t="s">
        <v>4136</v>
      </c>
      <c r="D401" s="681" t="s">
        <v>4279</v>
      </c>
      <c r="E401" s="682"/>
      <c r="F401" s="713"/>
      <c r="G401" s="329"/>
      <c r="H401" s="329"/>
      <c r="I401" s="329"/>
      <c r="J401" s="329"/>
      <c r="K401" s="329"/>
      <c r="L401" s="329"/>
      <c r="M401" s="329"/>
      <c r="N401" s="329"/>
      <c r="O401" s="329"/>
      <c r="P401" s="329"/>
      <c r="Q401" s="329"/>
      <c r="R401" s="329"/>
      <c r="S401" s="588"/>
      <c r="T401" s="588"/>
      <c r="U401" s="588">
        <f t="shared" si="3"/>
        <v>1</v>
      </c>
      <c r="V401" s="329"/>
      <c r="W401" s="329"/>
      <c r="X401" s="329"/>
      <c r="Y401" s="329"/>
      <c r="Z401" s="329"/>
      <c r="AA401" s="329"/>
      <c r="AB401" s="329"/>
      <c r="AC401" s="329"/>
      <c r="AD401" s="329"/>
      <c r="AE401" s="329"/>
      <c r="AF401" s="329"/>
      <c r="AG401" s="329"/>
      <c r="AH401" s="329"/>
      <c r="AI401" s="329"/>
    </row>
    <row r="402">
      <c r="B402" s="680" t="s">
        <v>3256</v>
      </c>
      <c r="C402" s="588" t="s">
        <v>4136</v>
      </c>
      <c r="D402" s="681" t="s">
        <v>3122</v>
      </c>
      <c r="E402" s="682"/>
      <c r="F402" s="713"/>
      <c r="G402" s="329"/>
      <c r="H402" s="329"/>
      <c r="I402" s="329"/>
      <c r="J402" s="329"/>
      <c r="K402" s="329"/>
      <c r="L402" s="329"/>
      <c r="M402" s="329"/>
      <c r="N402" s="329"/>
      <c r="O402" s="329"/>
      <c r="P402" s="329"/>
      <c r="Q402" s="329"/>
      <c r="R402" s="329"/>
      <c r="S402" s="588"/>
      <c r="T402" s="588"/>
      <c r="U402" s="588">
        <f t="shared" si="3"/>
        <v>1</v>
      </c>
      <c r="V402" s="329"/>
      <c r="W402" s="329"/>
      <c r="X402" s="329"/>
      <c r="Y402" s="329"/>
      <c r="Z402" s="329"/>
      <c r="AA402" s="329"/>
      <c r="AB402" s="329"/>
      <c r="AC402" s="329"/>
      <c r="AD402" s="329"/>
      <c r="AE402" s="329"/>
      <c r="AF402" s="329"/>
      <c r="AG402" s="329"/>
      <c r="AH402" s="329"/>
      <c r="AI402" s="329"/>
    </row>
    <row r="403">
      <c r="B403" s="680" t="s">
        <v>3255</v>
      </c>
      <c r="C403" s="588" t="s">
        <v>4136</v>
      </c>
      <c r="D403" s="681" t="s">
        <v>4280</v>
      </c>
      <c r="E403" s="682"/>
      <c r="F403" s="713"/>
      <c r="G403" s="329"/>
      <c r="H403" s="329"/>
      <c r="I403" s="329"/>
      <c r="J403" s="329"/>
      <c r="K403" s="329"/>
      <c r="L403" s="329"/>
      <c r="M403" s="329"/>
      <c r="N403" s="329"/>
      <c r="O403" s="329"/>
      <c r="P403" s="329"/>
      <c r="Q403" s="329"/>
      <c r="R403" s="329"/>
      <c r="S403" s="588"/>
      <c r="T403" s="588"/>
      <c r="U403" s="588">
        <f t="shared" si="3"/>
        <v>1</v>
      </c>
      <c r="V403" s="329"/>
      <c r="W403" s="329"/>
      <c r="X403" s="329"/>
      <c r="Y403" s="329"/>
      <c r="Z403" s="329"/>
      <c r="AA403" s="329"/>
      <c r="AB403" s="329"/>
      <c r="AC403" s="329"/>
      <c r="AD403" s="329"/>
      <c r="AE403" s="329"/>
      <c r="AF403" s="329"/>
      <c r="AG403" s="329"/>
      <c r="AH403" s="329"/>
      <c r="AI403" s="329"/>
    </row>
    <row r="404">
      <c r="B404" s="680" t="s">
        <v>3254</v>
      </c>
      <c r="C404" s="588" t="s">
        <v>4136</v>
      </c>
      <c r="D404" s="681" t="s">
        <v>4281</v>
      </c>
      <c r="E404" s="682"/>
      <c r="F404" s="713"/>
      <c r="G404" s="329"/>
      <c r="H404" s="329"/>
      <c r="I404" s="329"/>
      <c r="J404" s="329"/>
      <c r="K404" s="329"/>
      <c r="L404" s="329"/>
      <c r="M404" s="329"/>
      <c r="N404" s="329"/>
      <c r="O404" s="329"/>
      <c r="P404" s="329"/>
      <c r="Q404" s="329"/>
      <c r="R404" s="329"/>
      <c r="S404" s="588"/>
      <c r="T404" s="588"/>
      <c r="U404" s="588">
        <f t="shared" si="3"/>
        <v>1</v>
      </c>
      <c r="V404" s="329"/>
      <c r="W404" s="329"/>
      <c r="X404" s="329"/>
      <c r="Y404" s="329"/>
      <c r="Z404" s="329"/>
      <c r="AA404" s="329"/>
      <c r="AB404" s="329"/>
      <c r="AC404" s="329"/>
      <c r="AD404" s="329"/>
      <c r="AE404" s="329"/>
      <c r="AF404" s="329"/>
      <c r="AG404" s="329"/>
      <c r="AH404" s="329"/>
      <c r="AI404" s="329"/>
    </row>
    <row r="405">
      <c r="B405" s="680" t="s">
        <v>3253</v>
      </c>
      <c r="C405" s="588" t="s">
        <v>4136</v>
      </c>
      <c r="D405" s="681" t="s">
        <v>4208</v>
      </c>
      <c r="E405" s="682"/>
      <c r="F405" s="713"/>
      <c r="G405" s="329"/>
      <c r="H405" s="329"/>
      <c r="I405" s="329"/>
      <c r="J405" s="329"/>
      <c r="K405" s="329"/>
      <c r="L405" s="329"/>
      <c r="M405" s="329"/>
      <c r="N405" s="329"/>
      <c r="O405" s="588">
        <v>1.0</v>
      </c>
      <c r="P405" s="329"/>
      <c r="Q405" s="329"/>
      <c r="R405" s="329"/>
      <c r="S405" s="588"/>
      <c r="T405" s="588"/>
      <c r="U405" s="588">
        <f t="shared" si="3"/>
        <v>1</v>
      </c>
      <c r="V405" s="329"/>
      <c r="W405" s="329"/>
      <c r="X405" s="329"/>
      <c r="Y405" s="329"/>
      <c r="Z405" s="329"/>
      <c r="AA405" s="329"/>
      <c r="AB405" s="329"/>
      <c r="AC405" s="329"/>
      <c r="AD405" s="329"/>
      <c r="AE405" s="329"/>
      <c r="AF405" s="329"/>
      <c r="AG405" s="329"/>
      <c r="AH405" s="329"/>
      <c r="AI405" s="329"/>
    </row>
    <row r="406">
      <c r="B406" s="680" t="s">
        <v>3252</v>
      </c>
      <c r="C406" s="592" t="s">
        <v>4283</v>
      </c>
      <c r="D406" s="681" t="s">
        <v>4282</v>
      </c>
      <c r="E406" s="683" t="s">
        <v>3728</v>
      </c>
      <c r="F406" s="712"/>
      <c r="G406" s="588">
        <v>1192.0</v>
      </c>
      <c r="H406" s="588">
        <v>299.0</v>
      </c>
      <c r="I406" s="329"/>
      <c r="J406" s="329"/>
      <c r="K406" s="329"/>
      <c r="L406" s="329"/>
      <c r="M406" s="329"/>
      <c r="N406" s="329"/>
      <c r="O406" s="329"/>
      <c r="P406" s="329"/>
      <c r="Q406" s="329"/>
      <c r="R406" s="329"/>
      <c r="S406" s="588"/>
      <c r="T406" s="588"/>
      <c r="U406" s="588" t="str">
        <f t="shared" si="3"/>
        <v/>
      </c>
      <c r="V406" s="329"/>
      <c r="W406" s="329"/>
      <c r="X406" s="329"/>
      <c r="Y406" s="329"/>
      <c r="Z406" s="329"/>
      <c r="AA406" s="329"/>
      <c r="AB406" s="329"/>
      <c r="AC406" s="329"/>
      <c r="AD406" s="329"/>
      <c r="AE406" s="329"/>
      <c r="AF406" s="329"/>
      <c r="AG406" s="329"/>
      <c r="AH406" s="329"/>
      <c r="AI406" s="329"/>
    </row>
    <row r="407">
      <c r="B407" s="680" t="s">
        <v>3251</v>
      </c>
      <c r="C407" s="588" t="s">
        <v>4136</v>
      </c>
      <c r="D407" s="681" t="s">
        <v>4284</v>
      </c>
      <c r="E407" s="682"/>
      <c r="F407" s="713"/>
      <c r="G407" s="329"/>
      <c r="H407" s="329"/>
      <c r="I407" s="329"/>
      <c r="J407" s="329"/>
      <c r="K407" s="329"/>
      <c r="L407" s="329"/>
      <c r="M407" s="329"/>
      <c r="N407" s="329"/>
      <c r="O407" s="329"/>
      <c r="P407" s="329"/>
      <c r="Q407" s="329"/>
      <c r="R407" s="329"/>
      <c r="S407" s="588"/>
      <c r="T407" s="588"/>
      <c r="U407" s="588">
        <f t="shared" si="3"/>
        <v>1</v>
      </c>
      <c r="V407" s="329"/>
      <c r="W407" s="329"/>
      <c r="X407" s="329"/>
      <c r="Y407" s="329"/>
      <c r="Z407" s="329"/>
      <c r="AA407" s="329"/>
      <c r="AB407" s="329"/>
      <c r="AC407" s="329"/>
      <c r="AD407" s="329"/>
      <c r="AE407" s="329"/>
      <c r="AF407" s="329"/>
      <c r="AG407" s="329"/>
      <c r="AH407" s="329"/>
      <c r="AI407" s="329"/>
    </row>
    <row r="408">
      <c r="B408" s="680" t="s">
        <v>3250</v>
      </c>
      <c r="C408" s="592" t="s">
        <v>4286</v>
      </c>
      <c r="D408" s="681" t="s">
        <v>4285</v>
      </c>
      <c r="E408" s="682"/>
      <c r="F408" s="713"/>
      <c r="G408" s="588">
        <v>6139.0</v>
      </c>
      <c r="H408" s="588">
        <v>3882.0</v>
      </c>
      <c r="I408" s="588">
        <v>1.0</v>
      </c>
      <c r="J408" s="588">
        <v>1.0</v>
      </c>
      <c r="K408" s="588">
        <v>1.0</v>
      </c>
      <c r="L408" s="588">
        <v>1.0</v>
      </c>
      <c r="M408" s="329"/>
      <c r="N408" s="588">
        <v>1.0</v>
      </c>
      <c r="O408" s="588">
        <v>1.0</v>
      </c>
      <c r="P408" s="329"/>
      <c r="Q408" s="329"/>
      <c r="R408" s="329"/>
      <c r="S408" s="588"/>
      <c r="T408" s="588">
        <v>1.0</v>
      </c>
      <c r="U408" s="588" t="str">
        <f t="shared" si="3"/>
        <v/>
      </c>
      <c r="V408" s="329"/>
      <c r="W408" s="329"/>
      <c r="X408" s="329"/>
      <c r="Y408" s="329"/>
      <c r="Z408" s="329"/>
      <c r="AA408" s="329"/>
      <c r="AB408" s="329"/>
      <c r="AC408" s="329"/>
      <c r="AD408" s="329"/>
      <c r="AE408" s="329"/>
      <c r="AF408" s="329"/>
      <c r="AG408" s="329"/>
      <c r="AH408" s="329"/>
      <c r="AI408" s="329"/>
    </row>
    <row r="409">
      <c r="B409" s="680" t="s">
        <v>3249</v>
      </c>
      <c r="C409" s="592" t="s">
        <v>4288</v>
      </c>
      <c r="D409" s="681" t="s">
        <v>4287</v>
      </c>
      <c r="E409" s="682"/>
      <c r="F409" s="713"/>
      <c r="G409" s="588">
        <v>208.0</v>
      </c>
      <c r="H409" s="588">
        <v>28.0</v>
      </c>
      <c r="I409" s="588">
        <v>1.0</v>
      </c>
      <c r="J409" s="588"/>
      <c r="K409" s="588">
        <v>1.0</v>
      </c>
      <c r="L409" s="588">
        <v>1.0</v>
      </c>
      <c r="M409" s="329"/>
      <c r="N409" s="588">
        <v>1.0</v>
      </c>
      <c r="O409" s="329"/>
      <c r="P409" s="329"/>
      <c r="Q409" s="329"/>
      <c r="R409" s="588">
        <v>1.0</v>
      </c>
      <c r="S409" s="588"/>
      <c r="T409" s="588"/>
      <c r="U409" s="588" t="str">
        <f t="shared" si="3"/>
        <v/>
      </c>
      <c r="V409" s="329"/>
      <c r="W409" s="329"/>
      <c r="X409" s="329"/>
      <c r="Y409" s="329"/>
      <c r="Z409" s="329"/>
      <c r="AA409" s="329"/>
      <c r="AB409" s="329"/>
      <c r="AC409" s="329"/>
      <c r="AD409" s="329"/>
      <c r="AE409" s="329"/>
      <c r="AF409" s="329"/>
      <c r="AG409" s="329"/>
      <c r="AH409" s="329"/>
      <c r="AI409" s="329"/>
    </row>
    <row r="410">
      <c r="B410" s="680" t="s">
        <v>3248</v>
      </c>
      <c r="C410" s="588" t="s">
        <v>4136</v>
      </c>
      <c r="D410" s="681" t="s">
        <v>4289</v>
      </c>
      <c r="E410" s="682"/>
      <c r="F410" s="713"/>
      <c r="G410" s="329"/>
      <c r="H410" s="329"/>
      <c r="I410" s="329"/>
      <c r="J410" s="329"/>
      <c r="K410" s="329"/>
      <c r="L410" s="329"/>
      <c r="M410" s="329"/>
      <c r="N410" s="329"/>
      <c r="O410" s="329"/>
      <c r="P410" s="329"/>
      <c r="Q410" s="329"/>
      <c r="R410" s="329"/>
      <c r="S410" s="588"/>
      <c r="T410" s="588"/>
      <c r="U410" s="588">
        <f t="shared" si="3"/>
        <v>1</v>
      </c>
      <c r="V410" s="329"/>
      <c r="W410" s="329"/>
      <c r="X410" s="329"/>
      <c r="Y410" s="329"/>
      <c r="Z410" s="329"/>
      <c r="AA410" s="329"/>
      <c r="AB410" s="329"/>
      <c r="AC410" s="329"/>
      <c r="AD410" s="329"/>
      <c r="AE410" s="329"/>
      <c r="AF410" s="329"/>
      <c r="AG410" s="329"/>
      <c r="AH410" s="329"/>
      <c r="AI410" s="329"/>
    </row>
    <row r="411">
      <c r="B411" s="680" t="s">
        <v>3247</v>
      </c>
      <c r="C411" s="592" t="s">
        <v>4291</v>
      </c>
      <c r="D411" s="681" t="s">
        <v>4290</v>
      </c>
      <c r="E411" s="683" t="s">
        <v>3728</v>
      </c>
      <c r="F411" s="712"/>
      <c r="G411" s="588">
        <v>118.0</v>
      </c>
      <c r="H411" s="588">
        <v>58.0</v>
      </c>
      <c r="I411" s="329"/>
      <c r="J411" s="329"/>
      <c r="K411" s="329"/>
      <c r="L411" s="329"/>
      <c r="M411" s="329"/>
      <c r="N411" s="329"/>
      <c r="O411" s="329"/>
      <c r="P411" s="329"/>
      <c r="Q411" s="329"/>
      <c r="R411" s="329"/>
      <c r="S411" s="588"/>
      <c r="T411" s="588"/>
      <c r="U411" s="588" t="str">
        <f t="shared" si="3"/>
        <v/>
      </c>
      <c r="V411" s="329"/>
      <c r="W411" s="329"/>
      <c r="X411" s="329"/>
      <c r="Y411" s="329"/>
      <c r="Z411" s="329"/>
      <c r="AA411" s="329"/>
      <c r="AB411" s="329"/>
      <c r="AC411" s="329"/>
      <c r="AD411" s="329"/>
      <c r="AE411" s="329"/>
      <c r="AF411" s="329"/>
      <c r="AG411" s="329"/>
      <c r="AH411" s="329"/>
      <c r="AI411" s="329"/>
    </row>
    <row r="412">
      <c r="B412" s="680" t="s">
        <v>3246</v>
      </c>
      <c r="C412" s="588" t="s">
        <v>4136</v>
      </c>
      <c r="D412" s="681" t="s">
        <v>4292</v>
      </c>
      <c r="E412" s="682"/>
      <c r="F412" s="713"/>
      <c r="G412" s="329"/>
      <c r="H412" s="329"/>
      <c r="I412" s="329"/>
      <c r="J412" s="329"/>
      <c r="K412" s="329"/>
      <c r="L412" s="329"/>
      <c r="M412" s="329"/>
      <c r="N412" s="329"/>
      <c r="O412" s="329"/>
      <c r="P412" s="329"/>
      <c r="Q412" s="329"/>
      <c r="R412" s="329"/>
      <c r="S412" s="588"/>
      <c r="T412" s="588"/>
      <c r="U412" s="588">
        <f t="shared" si="3"/>
        <v>1</v>
      </c>
      <c r="V412" s="329"/>
      <c r="W412" s="329"/>
      <c r="X412" s="329"/>
      <c r="Y412" s="329"/>
      <c r="Z412" s="329"/>
      <c r="AA412" s="329"/>
      <c r="AB412" s="329"/>
      <c r="AC412" s="329"/>
      <c r="AD412" s="329"/>
      <c r="AE412" s="329"/>
      <c r="AF412" s="329"/>
      <c r="AG412" s="329"/>
      <c r="AH412" s="329"/>
      <c r="AI412" s="329"/>
    </row>
    <row r="413">
      <c r="B413" s="680" t="s">
        <v>3245</v>
      </c>
      <c r="C413" s="588" t="s">
        <v>4136</v>
      </c>
      <c r="D413" s="681" t="s">
        <v>4293</v>
      </c>
      <c r="E413" s="682"/>
      <c r="F413" s="713"/>
      <c r="G413" s="329"/>
      <c r="H413" s="329"/>
      <c r="I413" s="329"/>
      <c r="J413" s="329"/>
      <c r="K413" s="329"/>
      <c r="L413" s="329"/>
      <c r="M413" s="329"/>
      <c r="N413" s="329"/>
      <c r="O413" s="329"/>
      <c r="P413" s="329"/>
      <c r="Q413" s="329"/>
      <c r="R413" s="329"/>
      <c r="S413" s="588"/>
      <c r="T413" s="588"/>
      <c r="U413" s="588">
        <f t="shared" si="3"/>
        <v>1</v>
      </c>
      <c r="V413" s="329"/>
      <c r="W413" s="329"/>
      <c r="X413" s="329"/>
      <c r="Y413" s="329"/>
      <c r="Z413" s="329"/>
      <c r="AA413" s="329"/>
      <c r="AB413" s="329"/>
      <c r="AC413" s="329"/>
      <c r="AD413" s="329"/>
      <c r="AE413" s="329"/>
      <c r="AF413" s="329"/>
      <c r="AG413" s="329"/>
      <c r="AH413" s="329"/>
      <c r="AI413" s="329"/>
    </row>
    <row r="414">
      <c r="B414" s="680" t="s">
        <v>3240</v>
      </c>
      <c r="C414" s="588" t="s">
        <v>4136</v>
      </c>
      <c r="D414" s="681" t="s">
        <v>4209</v>
      </c>
      <c r="E414" s="682"/>
      <c r="F414" s="713"/>
      <c r="G414" s="588">
        <v>468.0</v>
      </c>
      <c r="H414" s="588">
        <v>38.0</v>
      </c>
      <c r="I414" s="694"/>
      <c r="J414" s="694"/>
      <c r="K414" s="694"/>
      <c r="L414" s="694"/>
      <c r="M414" s="329"/>
      <c r="N414" s="329"/>
      <c r="O414" s="695"/>
      <c r="P414" s="329"/>
      <c r="Q414" s="329"/>
      <c r="R414" s="588"/>
      <c r="S414" s="588"/>
      <c r="T414" s="588"/>
      <c r="U414" s="588">
        <v>1.0</v>
      </c>
      <c r="V414" s="694"/>
      <c r="W414" s="329"/>
      <c r="X414" s="329"/>
      <c r="Y414" s="329"/>
      <c r="Z414" s="329"/>
      <c r="AA414" s="329"/>
      <c r="AB414" s="329"/>
      <c r="AC414" s="329"/>
      <c r="AD414" s="329"/>
      <c r="AE414" s="329"/>
      <c r="AF414" s="329"/>
      <c r="AG414" s="329"/>
      <c r="AH414" s="329"/>
      <c r="AI414" s="329"/>
    </row>
    <row r="415">
      <c r="B415" s="680" t="s">
        <v>3239</v>
      </c>
      <c r="C415" s="592" t="s">
        <v>3279</v>
      </c>
      <c r="D415" s="681" t="s">
        <v>3277</v>
      </c>
      <c r="E415" s="683" t="s">
        <v>3728</v>
      </c>
      <c r="F415" s="712"/>
      <c r="G415" s="588">
        <v>367.0</v>
      </c>
      <c r="H415" s="588">
        <v>6.0</v>
      </c>
      <c r="I415" s="329"/>
      <c r="J415" s="329"/>
      <c r="K415" s="329"/>
      <c r="L415" s="329"/>
      <c r="M415" s="329"/>
      <c r="N415" s="329"/>
      <c r="O415" s="329"/>
      <c r="P415" s="329"/>
      <c r="Q415" s="329"/>
      <c r="R415" s="329"/>
      <c r="S415" s="588"/>
      <c r="T415" s="588"/>
      <c r="U415" s="588" t="str">
        <f t="shared" ref="U415:U418" si="4">if(C415 = "No fork...", 1,)</f>
        <v/>
      </c>
      <c r="V415" s="329"/>
      <c r="W415" s="329"/>
      <c r="X415" s="329"/>
      <c r="Y415" s="329"/>
      <c r="Z415" s="329"/>
      <c r="AA415" s="329"/>
      <c r="AB415" s="329"/>
      <c r="AC415" s="329"/>
      <c r="AD415" s="329"/>
      <c r="AE415" s="329"/>
      <c r="AF415" s="329"/>
      <c r="AG415" s="329"/>
      <c r="AH415" s="329"/>
      <c r="AI415" s="329"/>
    </row>
    <row r="416">
      <c r="B416" s="696" t="s">
        <v>3234</v>
      </c>
      <c r="C416" s="588" t="s">
        <v>4136</v>
      </c>
      <c r="D416" s="696" t="s">
        <v>4212</v>
      </c>
      <c r="E416" s="682"/>
      <c r="F416" s="713"/>
      <c r="G416" s="329"/>
      <c r="H416" s="329"/>
      <c r="I416" s="329"/>
      <c r="J416" s="329"/>
      <c r="K416" s="329"/>
      <c r="L416" s="329"/>
      <c r="M416" s="329"/>
      <c r="N416" s="329"/>
      <c r="O416" s="329"/>
      <c r="P416" s="329"/>
      <c r="Q416" s="329"/>
      <c r="R416" s="329"/>
      <c r="S416" s="588"/>
      <c r="T416" s="588"/>
      <c r="U416" s="588">
        <f t="shared" si="4"/>
        <v>1</v>
      </c>
      <c r="V416" s="329"/>
      <c r="W416" s="329"/>
      <c r="X416" s="329"/>
      <c r="Y416" s="329"/>
      <c r="Z416" s="329"/>
      <c r="AA416" s="329"/>
      <c r="AB416" s="329"/>
      <c r="AC416" s="329"/>
      <c r="AD416" s="329"/>
      <c r="AE416" s="329"/>
      <c r="AF416" s="329"/>
      <c r="AG416" s="329"/>
      <c r="AH416" s="329"/>
      <c r="AI416" s="329"/>
    </row>
    <row r="417">
      <c r="B417" s="696" t="s">
        <v>3233</v>
      </c>
      <c r="C417" s="592" t="s">
        <v>4295</v>
      </c>
      <c r="D417" s="696" t="s">
        <v>4294</v>
      </c>
      <c r="E417" s="682"/>
      <c r="F417" s="713"/>
      <c r="G417" s="588">
        <v>1107.0</v>
      </c>
      <c r="H417" s="588">
        <v>103.0</v>
      </c>
      <c r="I417" s="588">
        <v>1.0</v>
      </c>
      <c r="J417" s="588">
        <v>1.0</v>
      </c>
      <c r="K417" s="588">
        <v>1.0</v>
      </c>
      <c r="L417" s="588">
        <v>1.0</v>
      </c>
      <c r="M417" s="329"/>
      <c r="N417" s="588">
        <v>1.0</v>
      </c>
      <c r="O417" s="329"/>
      <c r="P417" s="329"/>
      <c r="Q417" s="329"/>
      <c r="R417" s="588">
        <v>1.0</v>
      </c>
      <c r="S417" s="588"/>
      <c r="T417" s="588"/>
      <c r="U417" s="588" t="str">
        <f t="shared" si="4"/>
        <v/>
      </c>
      <c r="V417" s="329"/>
      <c r="W417" s="329"/>
      <c r="X417" s="329"/>
      <c r="Y417" s="329"/>
      <c r="Z417" s="329"/>
      <c r="AA417" s="329"/>
      <c r="AB417" s="329"/>
      <c r="AC417" s="329"/>
      <c r="AD417" s="329"/>
      <c r="AE417" s="329"/>
      <c r="AF417" s="329"/>
      <c r="AG417" s="329"/>
      <c r="AH417" s="329"/>
      <c r="AI417" s="329"/>
    </row>
    <row r="418">
      <c r="B418" s="696" t="s">
        <v>3232</v>
      </c>
      <c r="C418" s="588" t="s">
        <v>4136</v>
      </c>
      <c r="D418" s="696" t="s">
        <v>4296</v>
      </c>
      <c r="E418" s="682"/>
      <c r="F418" s="713"/>
      <c r="G418" s="329"/>
      <c r="H418" s="329"/>
      <c r="I418" s="329"/>
      <c r="J418" s="329"/>
      <c r="K418" s="329"/>
      <c r="L418" s="329"/>
      <c r="M418" s="329"/>
      <c r="N418" s="329"/>
      <c r="O418" s="329"/>
      <c r="P418" s="329"/>
      <c r="Q418" s="329"/>
      <c r="R418" s="329"/>
      <c r="S418" s="588"/>
      <c r="T418" s="588"/>
      <c r="U418" s="588">
        <f t="shared" si="4"/>
        <v>1</v>
      </c>
      <c r="V418" s="329"/>
      <c r="W418" s="329"/>
      <c r="X418" s="329"/>
      <c r="Y418" s="329"/>
      <c r="Z418" s="329"/>
      <c r="AA418" s="329"/>
      <c r="AB418" s="329"/>
      <c r="AC418" s="329"/>
      <c r="AD418" s="329"/>
      <c r="AE418" s="329"/>
      <c r="AF418" s="329"/>
      <c r="AG418" s="329"/>
      <c r="AH418" s="329"/>
      <c r="AI418" s="329"/>
    </row>
    <row r="419">
      <c r="F419" s="225"/>
    </row>
    <row r="420">
      <c r="F420" s="225"/>
    </row>
    <row r="421">
      <c r="B421" s="18">
        <v>313.0</v>
      </c>
      <c r="C421">
        <f>countif(C119:C418, "No fork...")</f>
        <v>62</v>
      </c>
      <c r="E421" s="18">
        <v>92.0</v>
      </c>
      <c r="F421" s="699"/>
      <c r="U421">
        <f>countif(U2:U418, 1)</f>
        <v>64</v>
      </c>
    </row>
    <row r="422">
      <c r="F422" s="225"/>
    </row>
    <row r="423">
      <c r="F423" s="225"/>
    </row>
    <row r="424">
      <c r="F424" s="225"/>
    </row>
    <row r="425">
      <c r="F425" s="225"/>
    </row>
    <row r="426">
      <c r="F426" s="225"/>
    </row>
    <row r="427">
      <c r="F427" s="225"/>
    </row>
    <row r="428">
      <c r="F428" s="225"/>
    </row>
    <row r="429">
      <c r="F429" s="225"/>
    </row>
    <row r="430">
      <c r="F430" s="225"/>
    </row>
    <row r="431">
      <c r="F431" s="225"/>
    </row>
    <row r="432">
      <c r="F432" s="225"/>
    </row>
    <row r="433">
      <c r="F433" s="225"/>
    </row>
    <row r="434">
      <c r="F434" s="225"/>
    </row>
    <row r="435">
      <c r="F435" s="225"/>
    </row>
    <row r="436">
      <c r="F436" s="225"/>
    </row>
    <row r="437">
      <c r="F437" s="225"/>
    </row>
    <row r="438">
      <c r="F438" s="225"/>
    </row>
    <row r="439">
      <c r="F439" s="225"/>
    </row>
    <row r="440">
      <c r="F440" s="225"/>
    </row>
    <row r="441">
      <c r="F441" s="225"/>
    </row>
    <row r="442">
      <c r="F442" s="225"/>
    </row>
    <row r="443">
      <c r="F443" s="225"/>
    </row>
    <row r="444">
      <c r="F444" s="225"/>
    </row>
    <row r="445">
      <c r="F445" s="225"/>
    </row>
    <row r="446">
      <c r="F446" s="225"/>
    </row>
    <row r="447">
      <c r="F447" s="225"/>
    </row>
    <row r="448">
      <c r="F448" s="225"/>
    </row>
    <row r="449">
      <c r="F449" s="225"/>
    </row>
    <row r="450">
      <c r="F450" s="225"/>
    </row>
    <row r="451">
      <c r="F451" s="225"/>
    </row>
    <row r="452">
      <c r="F452" s="225"/>
    </row>
    <row r="453">
      <c r="F453" s="225"/>
    </row>
    <row r="454">
      <c r="F454" s="225"/>
    </row>
    <row r="455">
      <c r="F455" s="225"/>
    </row>
    <row r="456">
      <c r="F456" s="225"/>
    </row>
    <row r="457">
      <c r="F457" s="225"/>
    </row>
    <row r="458">
      <c r="F458" s="225"/>
    </row>
    <row r="459">
      <c r="F459" s="225"/>
    </row>
    <row r="460">
      <c r="F460" s="225"/>
    </row>
    <row r="461">
      <c r="F461" s="225"/>
    </row>
    <row r="462">
      <c r="F462" s="225"/>
    </row>
    <row r="463">
      <c r="F463" s="225"/>
    </row>
    <row r="464">
      <c r="F464" s="225"/>
    </row>
    <row r="465">
      <c r="F465" s="225"/>
    </row>
    <row r="466">
      <c r="F466" s="225"/>
    </row>
    <row r="467">
      <c r="F467" s="225"/>
    </row>
    <row r="468">
      <c r="F468" s="225"/>
    </row>
    <row r="469">
      <c r="F469" s="225"/>
    </row>
    <row r="470">
      <c r="F470" s="225"/>
    </row>
    <row r="471">
      <c r="F471" s="225"/>
    </row>
    <row r="472">
      <c r="F472" s="225"/>
    </row>
    <row r="473">
      <c r="F473" s="225"/>
    </row>
    <row r="474">
      <c r="F474" s="225"/>
    </row>
    <row r="475">
      <c r="F475" s="225"/>
    </row>
    <row r="476">
      <c r="F476" s="225"/>
    </row>
    <row r="477">
      <c r="F477" s="225"/>
    </row>
    <row r="478">
      <c r="F478" s="225"/>
    </row>
    <row r="479">
      <c r="F479" s="225"/>
    </row>
    <row r="480">
      <c r="F480" s="225"/>
    </row>
    <row r="481">
      <c r="F481" s="225"/>
    </row>
    <row r="482">
      <c r="F482" s="225"/>
    </row>
    <row r="483">
      <c r="F483" s="225"/>
    </row>
    <row r="484">
      <c r="F484" s="225"/>
    </row>
    <row r="485">
      <c r="F485" s="225"/>
    </row>
    <row r="486">
      <c r="F486" s="225"/>
    </row>
    <row r="487">
      <c r="F487" s="225"/>
    </row>
    <row r="488">
      <c r="F488" s="225"/>
    </row>
    <row r="489">
      <c r="F489" s="225"/>
    </row>
    <row r="490">
      <c r="F490" s="225"/>
    </row>
    <row r="491">
      <c r="F491" s="225"/>
    </row>
    <row r="492">
      <c r="F492" s="225"/>
    </row>
    <row r="493">
      <c r="F493" s="225"/>
    </row>
    <row r="494">
      <c r="F494" s="225"/>
    </row>
    <row r="495">
      <c r="F495" s="225"/>
    </row>
    <row r="496">
      <c r="F496" s="225"/>
    </row>
    <row r="497">
      <c r="F497" s="225"/>
    </row>
    <row r="498">
      <c r="F498" s="225"/>
    </row>
    <row r="499">
      <c r="F499" s="225"/>
    </row>
    <row r="500">
      <c r="F500" s="225"/>
    </row>
    <row r="501">
      <c r="F501" s="225"/>
    </row>
    <row r="502">
      <c r="F502" s="225"/>
    </row>
    <row r="503">
      <c r="F503" s="225"/>
    </row>
    <row r="504">
      <c r="F504" s="225"/>
    </row>
    <row r="505">
      <c r="F505" s="225"/>
    </row>
    <row r="506">
      <c r="F506" s="225"/>
    </row>
    <row r="507">
      <c r="F507" s="225"/>
    </row>
    <row r="508">
      <c r="F508" s="225"/>
    </row>
    <row r="509">
      <c r="F509" s="225"/>
    </row>
    <row r="510">
      <c r="F510" s="225"/>
    </row>
    <row r="511">
      <c r="F511" s="225"/>
    </row>
    <row r="512">
      <c r="F512" s="225"/>
    </row>
    <row r="513">
      <c r="F513" s="225"/>
    </row>
    <row r="514">
      <c r="F514" s="225"/>
    </row>
    <row r="515">
      <c r="F515" s="225"/>
    </row>
    <row r="516">
      <c r="F516" s="225"/>
    </row>
    <row r="517">
      <c r="F517" s="225"/>
    </row>
    <row r="518">
      <c r="F518" s="225"/>
    </row>
    <row r="519">
      <c r="F519" s="225"/>
    </row>
    <row r="520">
      <c r="F520" s="225"/>
    </row>
    <row r="521">
      <c r="F521" s="225"/>
    </row>
    <row r="522">
      <c r="F522" s="225"/>
    </row>
    <row r="523">
      <c r="F523" s="225"/>
    </row>
    <row r="524">
      <c r="F524" s="225"/>
    </row>
    <row r="525">
      <c r="F525" s="225"/>
    </row>
    <row r="526">
      <c r="F526" s="225"/>
    </row>
    <row r="527">
      <c r="F527" s="225"/>
    </row>
    <row r="528">
      <c r="F528" s="225"/>
    </row>
    <row r="529">
      <c r="F529" s="225"/>
    </row>
    <row r="530">
      <c r="F530" s="225"/>
    </row>
    <row r="531">
      <c r="F531" s="225"/>
    </row>
    <row r="532">
      <c r="F532" s="225"/>
    </row>
    <row r="533">
      <c r="F533" s="225"/>
    </row>
    <row r="534">
      <c r="F534" s="225"/>
    </row>
    <row r="535">
      <c r="F535" s="225"/>
    </row>
    <row r="536">
      <c r="F536" s="225"/>
    </row>
    <row r="537">
      <c r="F537" s="225"/>
    </row>
    <row r="538">
      <c r="F538" s="225"/>
    </row>
    <row r="539">
      <c r="F539" s="225"/>
    </row>
    <row r="540">
      <c r="F540" s="225"/>
    </row>
    <row r="541">
      <c r="F541" s="225"/>
    </row>
    <row r="542">
      <c r="F542" s="225"/>
    </row>
    <row r="543">
      <c r="F543" s="225"/>
    </row>
    <row r="544">
      <c r="F544" s="225"/>
    </row>
    <row r="545">
      <c r="F545" s="225"/>
    </row>
    <row r="546">
      <c r="F546" s="225"/>
    </row>
    <row r="547">
      <c r="F547" s="225"/>
    </row>
    <row r="548">
      <c r="F548" s="225"/>
    </row>
    <row r="549">
      <c r="F549" s="225"/>
    </row>
    <row r="550">
      <c r="F550" s="225"/>
    </row>
    <row r="551">
      <c r="F551" s="225"/>
    </row>
    <row r="552">
      <c r="F552" s="225"/>
    </row>
    <row r="553">
      <c r="F553" s="225"/>
    </row>
    <row r="554">
      <c r="F554" s="225"/>
    </row>
    <row r="555">
      <c r="F555" s="225"/>
    </row>
    <row r="556">
      <c r="F556" s="225"/>
    </row>
    <row r="557">
      <c r="F557" s="225"/>
    </row>
    <row r="558">
      <c r="F558" s="225"/>
    </row>
    <row r="559">
      <c r="F559" s="225"/>
    </row>
    <row r="560">
      <c r="F560" s="225"/>
    </row>
    <row r="561">
      <c r="F561" s="225"/>
    </row>
    <row r="562">
      <c r="F562" s="225"/>
    </row>
    <row r="563">
      <c r="F563" s="225"/>
    </row>
    <row r="564">
      <c r="F564" s="225"/>
    </row>
    <row r="565">
      <c r="F565" s="225"/>
    </row>
    <row r="566">
      <c r="F566" s="225"/>
    </row>
    <row r="567">
      <c r="F567" s="225"/>
    </row>
    <row r="568">
      <c r="F568" s="225"/>
    </row>
    <row r="569">
      <c r="F569" s="225"/>
    </row>
    <row r="570">
      <c r="F570" s="225"/>
    </row>
    <row r="571">
      <c r="F571" s="225"/>
    </row>
    <row r="572">
      <c r="F572" s="225"/>
    </row>
    <row r="573">
      <c r="F573" s="225"/>
    </row>
    <row r="574">
      <c r="F574" s="225"/>
    </row>
    <row r="575">
      <c r="F575" s="225"/>
    </row>
    <row r="576">
      <c r="F576" s="225"/>
    </row>
    <row r="577">
      <c r="F577" s="225"/>
    </row>
    <row r="578">
      <c r="F578" s="225"/>
    </row>
    <row r="579">
      <c r="F579" s="225"/>
    </row>
    <row r="580">
      <c r="F580" s="225"/>
    </row>
    <row r="581">
      <c r="F581" s="225"/>
    </row>
    <row r="582">
      <c r="F582" s="225"/>
    </row>
    <row r="583">
      <c r="F583" s="225"/>
    </row>
    <row r="584">
      <c r="F584" s="225"/>
    </row>
    <row r="585">
      <c r="F585" s="225"/>
    </row>
    <row r="586">
      <c r="F586" s="225"/>
    </row>
    <row r="587">
      <c r="F587" s="225"/>
    </row>
    <row r="588">
      <c r="F588" s="225"/>
    </row>
    <row r="589">
      <c r="F589" s="225"/>
    </row>
    <row r="590">
      <c r="F590" s="225"/>
    </row>
    <row r="591">
      <c r="F591" s="225"/>
    </row>
    <row r="592">
      <c r="F592" s="225"/>
    </row>
    <row r="593">
      <c r="F593" s="225"/>
    </row>
    <row r="594">
      <c r="F594" s="225"/>
    </row>
    <row r="595">
      <c r="F595" s="225"/>
    </row>
    <row r="596">
      <c r="F596" s="225"/>
    </row>
    <row r="597">
      <c r="F597" s="225"/>
    </row>
    <row r="598">
      <c r="F598" s="225"/>
    </row>
    <row r="599">
      <c r="F599" s="225"/>
    </row>
    <row r="600">
      <c r="F600" s="225"/>
    </row>
    <row r="601">
      <c r="F601" s="225"/>
    </row>
    <row r="602">
      <c r="F602" s="225"/>
    </row>
    <row r="603">
      <c r="F603" s="225"/>
    </row>
    <row r="604">
      <c r="F604" s="225"/>
    </row>
    <row r="605">
      <c r="F605" s="225"/>
    </row>
    <row r="606">
      <c r="F606" s="225"/>
    </row>
    <row r="607">
      <c r="F607" s="225"/>
    </row>
    <row r="608">
      <c r="F608" s="225"/>
    </row>
    <row r="609">
      <c r="F609" s="225"/>
    </row>
    <row r="610">
      <c r="F610" s="225"/>
    </row>
    <row r="611">
      <c r="F611" s="225"/>
    </row>
    <row r="612">
      <c r="F612" s="225"/>
    </row>
    <row r="613">
      <c r="F613" s="225"/>
    </row>
    <row r="614">
      <c r="F614" s="225"/>
    </row>
    <row r="615">
      <c r="F615" s="225"/>
    </row>
    <row r="616">
      <c r="F616" s="225"/>
    </row>
    <row r="617">
      <c r="F617" s="225"/>
    </row>
    <row r="618">
      <c r="F618" s="225"/>
    </row>
    <row r="619">
      <c r="F619" s="225"/>
    </row>
    <row r="620">
      <c r="F620" s="225"/>
    </row>
    <row r="621">
      <c r="F621" s="225"/>
    </row>
    <row r="622">
      <c r="F622" s="225"/>
    </row>
    <row r="623">
      <c r="F623" s="225"/>
    </row>
    <row r="624">
      <c r="F624" s="225"/>
    </row>
    <row r="625">
      <c r="F625" s="225"/>
    </row>
    <row r="626">
      <c r="F626" s="225"/>
    </row>
    <row r="627">
      <c r="F627" s="225"/>
    </row>
    <row r="628">
      <c r="F628" s="225"/>
    </row>
    <row r="629">
      <c r="F629" s="225"/>
    </row>
    <row r="630">
      <c r="F630" s="225"/>
    </row>
    <row r="631">
      <c r="F631" s="225"/>
    </row>
    <row r="632">
      <c r="F632" s="225"/>
    </row>
    <row r="633">
      <c r="F633" s="225"/>
    </row>
    <row r="634">
      <c r="F634" s="225"/>
    </row>
    <row r="635">
      <c r="F635" s="225"/>
    </row>
    <row r="636">
      <c r="F636" s="225"/>
    </row>
    <row r="637">
      <c r="F637" s="225"/>
    </row>
    <row r="638">
      <c r="F638" s="225"/>
    </row>
    <row r="639">
      <c r="F639" s="225"/>
    </row>
    <row r="640">
      <c r="F640" s="225"/>
    </row>
    <row r="641">
      <c r="F641" s="225"/>
    </row>
    <row r="642">
      <c r="F642" s="225"/>
    </row>
    <row r="643">
      <c r="F643" s="225"/>
    </row>
    <row r="644">
      <c r="F644" s="225"/>
    </row>
    <row r="645">
      <c r="F645" s="225"/>
    </row>
    <row r="646">
      <c r="F646" s="225"/>
    </row>
    <row r="647">
      <c r="F647" s="225"/>
    </row>
    <row r="648">
      <c r="F648" s="225"/>
    </row>
    <row r="649">
      <c r="F649" s="225"/>
    </row>
    <row r="650">
      <c r="F650" s="225"/>
    </row>
    <row r="651">
      <c r="F651" s="225"/>
    </row>
    <row r="652">
      <c r="F652" s="225"/>
    </row>
    <row r="653">
      <c r="F653" s="225"/>
    </row>
    <row r="654">
      <c r="F654" s="225"/>
    </row>
    <row r="655">
      <c r="F655" s="225"/>
    </row>
    <row r="656">
      <c r="F656" s="225"/>
    </row>
    <row r="657">
      <c r="F657" s="225"/>
    </row>
    <row r="658">
      <c r="F658" s="225"/>
    </row>
    <row r="659">
      <c r="F659" s="225"/>
    </row>
    <row r="660">
      <c r="F660" s="225"/>
    </row>
    <row r="661">
      <c r="F661" s="225"/>
    </row>
    <row r="662">
      <c r="F662" s="225"/>
    </row>
    <row r="663">
      <c r="F663" s="225"/>
    </row>
    <row r="664">
      <c r="F664" s="225"/>
    </row>
    <row r="665">
      <c r="F665" s="225"/>
    </row>
    <row r="666">
      <c r="F666" s="225"/>
    </row>
    <row r="667">
      <c r="F667" s="225"/>
    </row>
    <row r="668">
      <c r="F668" s="225"/>
    </row>
    <row r="669">
      <c r="F669" s="225"/>
    </row>
    <row r="670">
      <c r="F670" s="225"/>
    </row>
    <row r="671">
      <c r="F671" s="225"/>
    </row>
    <row r="672">
      <c r="F672" s="225"/>
    </row>
    <row r="673">
      <c r="F673" s="225"/>
    </row>
    <row r="674">
      <c r="F674" s="225"/>
    </row>
    <row r="675">
      <c r="F675" s="225"/>
    </row>
    <row r="676">
      <c r="F676" s="225"/>
    </row>
    <row r="677">
      <c r="F677" s="225"/>
    </row>
    <row r="678">
      <c r="F678" s="225"/>
    </row>
    <row r="679">
      <c r="F679" s="225"/>
    </row>
    <row r="680">
      <c r="F680" s="225"/>
    </row>
    <row r="681">
      <c r="F681" s="225"/>
    </row>
    <row r="682">
      <c r="F682" s="225"/>
    </row>
    <row r="683">
      <c r="F683" s="225"/>
    </row>
    <row r="684">
      <c r="F684" s="225"/>
    </row>
    <row r="685">
      <c r="F685" s="225"/>
    </row>
    <row r="686">
      <c r="F686" s="225"/>
    </row>
    <row r="687">
      <c r="F687" s="225"/>
    </row>
    <row r="688">
      <c r="F688" s="225"/>
    </row>
    <row r="689">
      <c r="F689" s="225"/>
    </row>
    <row r="690">
      <c r="F690" s="225"/>
    </row>
    <row r="691">
      <c r="F691" s="225"/>
    </row>
    <row r="692">
      <c r="F692" s="225"/>
    </row>
    <row r="693">
      <c r="F693" s="225"/>
    </row>
    <row r="694">
      <c r="F694" s="225"/>
    </row>
    <row r="695">
      <c r="F695" s="225"/>
    </row>
    <row r="696">
      <c r="F696" s="225"/>
    </row>
    <row r="697">
      <c r="F697" s="225"/>
    </row>
    <row r="698">
      <c r="F698" s="225"/>
    </row>
    <row r="699">
      <c r="F699" s="225"/>
    </row>
    <row r="700">
      <c r="F700" s="225"/>
    </row>
    <row r="701">
      <c r="F701" s="225"/>
    </row>
    <row r="702">
      <c r="F702" s="225"/>
    </row>
    <row r="703">
      <c r="F703" s="225"/>
    </row>
    <row r="704">
      <c r="F704" s="225"/>
    </row>
    <row r="705">
      <c r="F705" s="225"/>
    </row>
    <row r="706">
      <c r="F706" s="225"/>
    </row>
    <row r="707">
      <c r="F707" s="225"/>
    </row>
    <row r="708">
      <c r="F708" s="225"/>
    </row>
    <row r="709">
      <c r="F709" s="225"/>
    </row>
    <row r="710">
      <c r="F710" s="225"/>
    </row>
    <row r="711">
      <c r="F711" s="225"/>
    </row>
    <row r="712">
      <c r="F712" s="225"/>
    </row>
    <row r="713">
      <c r="F713" s="225"/>
    </row>
    <row r="714">
      <c r="F714" s="225"/>
    </row>
    <row r="715">
      <c r="F715" s="225"/>
    </row>
    <row r="716">
      <c r="F716" s="225"/>
    </row>
    <row r="717">
      <c r="F717" s="225"/>
    </row>
    <row r="718">
      <c r="F718" s="225"/>
    </row>
    <row r="719">
      <c r="F719" s="225"/>
    </row>
    <row r="720">
      <c r="F720" s="225"/>
    </row>
    <row r="721">
      <c r="F721" s="225"/>
    </row>
    <row r="722">
      <c r="F722" s="225"/>
    </row>
    <row r="723">
      <c r="F723" s="225"/>
    </row>
    <row r="724">
      <c r="F724" s="225"/>
    </row>
    <row r="725">
      <c r="F725" s="225"/>
    </row>
    <row r="726">
      <c r="F726" s="225"/>
    </row>
    <row r="727">
      <c r="F727" s="225"/>
    </row>
    <row r="728">
      <c r="F728" s="225"/>
    </row>
    <row r="729">
      <c r="F729" s="225"/>
    </row>
    <row r="730">
      <c r="F730" s="225"/>
    </row>
    <row r="731">
      <c r="F731" s="225"/>
    </row>
    <row r="732">
      <c r="F732" s="225"/>
    </row>
    <row r="733">
      <c r="F733" s="225"/>
    </row>
    <row r="734">
      <c r="F734" s="225"/>
    </row>
    <row r="735">
      <c r="F735" s="225"/>
    </row>
    <row r="736">
      <c r="F736" s="225"/>
    </row>
    <row r="737">
      <c r="F737" s="225"/>
    </row>
    <row r="738">
      <c r="F738" s="225"/>
    </row>
    <row r="739">
      <c r="F739" s="225"/>
    </row>
    <row r="740">
      <c r="F740" s="225"/>
    </row>
    <row r="741">
      <c r="F741" s="225"/>
    </row>
    <row r="742">
      <c r="F742" s="225"/>
    </row>
    <row r="743">
      <c r="F743" s="225"/>
    </row>
    <row r="744">
      <c r="F744" s="225"/>
    </row>
    <row r="745">
      <c r="F745" s="225"/>
    </row>
    <row r="746">
      <c r="F746" s="225"/>
    </row>
    <row r="747">
      <c r="F747" s="225"/>
    </row>
    <row r="748">
      <c r="F748" s="225"/>
    </row>
    <row r="749">
      <c r="F749" s="225"/>
    </row>
    <row r="750">
      <c r="F750" s="225"/>
    </row>
    <row r="751">
      <c r="F751" s="225"/>
    </row>
    <row r="752">
      <c r="F752" s="225"/>
    </row>
    <row r="753">
      <c r="F753" s="225"/>
    </row>
    <row r="754">
      <c r="F754" s="225"/>
    </row>
    <row r="755">
      <c r="F755" s="225"/>
    </row>
    <row r="756">
      <c r="F756" s="225"/>
    </row>
    <row r="757">
      <c r="F757" s="225"/>
    </row>
    <row r="758">
      <c r="F758" s="225"/>
    </row>
    <row r="759">
      <c r="F759" s="225"/>
    </row>
    <row r="760">
      <c r="F760" s="225"/>
    </row>
    <row r="761">
      <c r="F761" s="225"/>
    </row>
    <row r="762">
      <c r="F762" s="225"/>
    </row>
    <row r="763">
      <c r="F763" s="225"/>
    </row>
    <row r="764">
      <c r="F764" s="225"/>
    </row>
    <row r="765">
      <c r="F765" s="225"/>
    </row>
    <row r="766">
      <c r="F766" s="225"/>
    </row>
    <row r="767">
      <c r="F767" s="225"/>
    </row>
    <row r="768">
      <c r="F768" s="225"/>
    </row>
    <row r="769">
      <c r="F769" s="225"/>
    </row>
    <row r="770">
      <c r="F770" s="225"/>
    </row>
    <row r="771">
      <c r="F771" s="225"/>
    </row>
    <row r="772">
      <c r="F772" s="225"/>
    </row>
    <row r="773">
      <c r="F773" s="225"/>
    </row>
    <row r="774">
      <c r="F774" s="225"/>
    </row>
    <row r="775">
      <c r="F775" s="225"/>
    </row>
    <row r="776">
      <c r="F776" s="225"/>
    </row>
    <row r="777">
      <c r="F777" s="225"/>
    </row>
    <row r="778">
      <c r="F778" s="225"/>
    </row>
    <row r="779">
      <c r="F779" s="225"/>
    </row>
    <row r="780">
      <c r="F780" s="225"/>
    </row>
    <row r="781">
      <c r="F781" s="225"/>
    </row>
    <row r="782">
      <c r="F782" s="225"/>
    </row>
    <row r="783">
      <c r="F783" s="225"/>
    </row>
    <row r="784">
      <c r="F784" s="225"/>
    </row>
    <row r="785">
      <c r="F785" s="225"/>
    </row>
    <row r="786">
      <c r="F786" s="225"/>
    </row>
    <row r="787">
      <c r="F787" s="225"/>
    </row>
    <row r="788">
      <c r="F788" s="225"/>
    </row>
    <row r="789">
      <c r="F789" s="225"/>
    </row>
    <row r="790">
      <c r="F790" s="225"/>
    </row>
    <row r="791">
      <c r="F791" s="225"/>
    </row>
    <row r="792">
      <c r="F792" s="225"/>
    </row>
    <row r="793">
      <c r="F793" s="225"/>
    </row>
    <row r="794">
      <c r="F794" s="225"/>
    </row>
    <row r="795">
      <c r="F795" s="225"/>
    </row>
    <row r="796">
      <c r="F796" s="225"/>
    </row>
    <row r="797">
      <c r="F797" s="225"/>
    </row>
    <row r="798">
      <c r="F798" s="225"/>
    </row>
    <row r="799">
      <c r="F799" s="225"/>
    </row>
    <row r="800">
      <c r="F800" s="225"/>
    </row>
    <row r="801">
      <c r="F801" s="225"/>
    </row>
    <row r="802">
      <c r="F802" s="225"/>
    </row>
    <row r="803">
      <c r="F803" s="225"/>
    </row>
    <row r="804">
      <c r="F804" s="225"/>
    </row>
    <row r="805">
      <c r="F805" s="225"/>
    </row>
    <row r="806">
      <c r="F806" s="225"/>
    </row>
    <row r="807">
      <c r="F807" s="225"/>
    </row>
    <row r="808">
      <c r="F808" s="225"/>
    </row>
    <row r="809">
      <c r="F809" s="225"/>
    </row>
    <row r="810">
      <c r="F810" s="225"/>
    </row>
    <row r="811">
      <c r="F811" s="225"/>
    </row>
    <row r="812">
      <c r="F812" s="225"/>
    </row>
    <row r="813">
      <c r="F813" s="225"/>
    </row>
    <row r="814">
      <c r="F814" s="225"/>
    </row>
    <row r="815">
      <c r="F815" s="225"/>
    </row>
    <row r="816">
      <c r="F816" s="225"/>
    </row>
    <row r="817">
      <c r="F817" s="225"/>
    </row>
    <row r="818">
      <c r="F818" s="225"/>
    </row>
    <row r="819">
      <c r="F819" s="225"/>
    </row>
    <row r="820">
      <c r="F820" s="225"/>
    </row>
    <row r="821">
      <c r="F821" s="225"/>
    </row>
    <row r="822">
      <c r="F822" s="225"/>
    </row>
    <row r="823">
      <c r="F823" s="225"/>
    </row>
    <row r="824">
      <c r="F824" s="225"/>
    </row>
    <row r="825">
      <c r="F825" s="225"/>
    </row>
    <row r="826">
      <c r="F826" s="225"/>
    </row>
    <row r="827">
      <c r="F827" s="225"/>
    </row>
    <row r="828">
      <c r="F828" s="225"/>
    </row>
    <row r="829">
      <c r="F829" s="225"/>
    </row>
    <row r="830">
      <c r="F830" s="225"/>
    </row>
    <row r="831">
      <c r="F831" s="225"/>
    </row>
    <row r="832">
      <c r="F832" s="225"/>
    </row>
    <row r="833">
      <c r="F833" s="225"/>
    </row>
    <row r="834">
      <c r="F834" s="225"/>
    </row>
    <row r="835">
      <c r="F835" s="225"/>
    </row>
    <row r="836">
      <c r="F836" s="225"/>
    </row>
    <row r="837">
      <c r="F837" s="225"/>
    </row>
    <row r="838">
      <c r="F838" s="225"/>
    </row>
    <row r="839">
      <c r="F839" s="225"/>
    </row>
    <row r="840">
      <c r="F840" s="225"/>
    </row>
    <row r="841">
      <c r="F841" s="225"/>
    </row>
    <row r="842">
      <c r="F842" s="225"/>
    </row>
    <row r="843">
      <c r="F843" s="225"/>
    </row>
    <row r="844">
      <c r="F844" s="225"/>
    </row>
    <row r="845">
      <c r="F845" s="225"/>
    </row>
    <row r="846">
      <c r="F846" s="225"/>
    </row>
    <row r="847">
      <c r="F847" s="225"/>
    </row>
    <row r="848">
      <c r="F848" s="225"/>
    </row>
    <row r="849">
      <c r="F849" s="225"/>
    </row>
    <row r="850">
      <c r="F850" s="225"/>
    </row>
    <row r="851">
      <c r="F851" s="225"/>
    </row>
    <row r="852">
      <c r="F852" s="225"/>
    </row>
    <row r="853">
      <c r="F853" s="225"/>
    </row>
    <row r="854">
      <c r="F854" s="225"/>
    </row>
    <row r="855">
      <c r="F855" s="225"/>
    </row>
    <row r="856">
      <c r="F856" s="225"/>
    </row>
    <row r="857">
      <c r="F857" s="225"/>
    </row>
    <row r="858">
      <c r="F858" s="225"/>
    </row>
    <row r="859">
      <c r="F859" s="225"/>
    </row>
    <row r="860">
      <c r="F860" s="225"/>
    </row>
    <row r="861">
      <c r="F861" s="225"/>
    </row>
    <row r="862">
      <c r="F862" s="225"/>
    </row>
    <row r="863">
      <c r="F863" s="225"/>
    </row>
    <row r="864">
      <c r="F864" s="225"/>
    </row>
    <row r="865">
      <c r="F865" s="225"/>
    </row>
    <row r="866">
      <c r="F866" s="225"/>
    </row>
    <row r="867">
      <c r="F867" s="225"/>
    </row>
    <row r="868">
      <c r="F868" s="225"/>
    </row>
    <row r="869">
      <c r="F869" s="225"/>
    </row>
    <row r="870">
      <c r="F870" s="225"/>
    </row>
    <row r="871">
      <c r="F871" s="225"/>
    </row>
    <row r="872">
      <c r="F872" s="225"/>
    </row>
    <row r="873">
      <c r="F873" s="225"/>
    </row>
    <row r="874">
      <c r="F874" s="225"/>
    </row>
    <row r="875">
      <c r="F875" s="225"/>
    </row>
    <row r="876">
      <c r="F876" s="225"/>
    </row>
    <row r="877">
      <c r="F877" s="225"/>
    </row>
    <row r="878">
      <c r="F878" s="225"/>
    </row>
    <row r="879">
      <c r="F879" s="225"/>
    </row>
    <row r="880">
      <c r="F880" s="225"/>
    </row>
    <row r="881">
      <c r="F881" s="225"/>
    </row>
    <row r="882">
      <c r="F882" s="225"/>
    </row>
    <row r="883">
      <c r="F883" s="225"/>
    </row>
    <row r="884">
      <c r="F884" s="225"/>
    </row>
    <row r="885">
      <c r="F885" s="225"/>
    </row>
    <row r="886">
      <c r="F886" s="225"/>
    </row>
    <row r="887">
      <c r="F887" s="225"/>
    </row>
    <row r="888">
      <c r="F888" s="225"/>
    </row>
    <row r="889">
      <c r="F889" s="225"/>
    </row>
    <row r="890">
      <c r="F890" s="225"/>
    </row>
    <row r="891">
      <c r="F891" s="225"/>
    </row>
    <row r="892">
      <c r="F892" s="225"/>
    </row>
    <row r="893">
      <c r="F893" s="225"/>
    </row>
    <row r="894">
      <c r="F894" s="225"/>
    </row>
    <row r="895">
      <c r="F895" s="225"/>
    </row>
    <row r="896">
      <c r="F896" s="225"/>
    </row>
    <row r="897">
      <c r="F897" s="225"/>
    </row>
    <row r="898">
      <c r="F898" s="225"/>
    </row>
    <row r="899">
      <c r="F899" s="225"/>
    </row>
    <row r="900">
      <c r="F900" s="225"/>
    </row>
    <row r="901">
      <c r="F901" s="225"/>
    </row>
    <row r="902">
      <c r="F902" s="225"/>
    </row>
    <row r="903">
      <c r="F903" s="225"/>
    </row>
    <row r="904">
      <c r="F904" s="225"/>
    </row>
    <row r="905">
      <c r="F905" s="225"/>
    </row>
    <row r="906">
      <c r="F906" s="225"/>
    </row>
    <row r="907">
      <c r="F907" s="225"/>
    </row>
    <row r="908">
      <c r="F908" s="225"/>
    </row>
    <row r="909">
      <c r="F909" s="225"/>
    </row>
    <row r="910">
      <c r="F910" s="225"/>
    </row>
    <row r="911">
      <c r="F911" s="225"/>
    </row>
    <row r="912">
      <c r="F912" s="225"/>
    </row>
    <row r="913">
      <c r="F913" s="225"/>
    </row>
    <row r="914">
      <c r="F914" s="225"/>
    </row>
    <row r="915">
      <c r="F915" s="225"/>
    </row>
    <row r="916">
      <c r="F916" s="225"/>
    </row>
    <row r="917">
      <c r="F917" s="225"/>
    </row>
    <row r="918">
      <c r="F918" s="225"/>
    </row>
    <row r="919">
      <c r="F919" s="225"/>
    </row>
    <row r="920">
      <c r="F920" s="225"/>
    </row>
    <row r="921">
      <c r="F921" s="225"/>
    </row>
    <row r="922">
      <c r="F922" s="225"/>
    </row>
    <row r="923">
      <c r="F923" s="225"/>
    </row>
    <row r="924">
      <c r="F924" s="225"/>
    </row>
    <row r="925">
      <c r="F925" s="225"/>
    </row>
    <row r="926">
      <c r="F926" s="225"/>
    </row>
    <row r="927">
      <c r="F927" s="225"/>
    </row>
    <row r="928">
      <c r="F928" s="225"/>
    </row>
    <row r="929">
      <c r="F929" s="225"/>
    </row>
    <row r="930">
      <c r="F930" s="225"/>
    </row>
    <row r="931">
      <c r="F931" s="225"/>
    </row>
    <row r="932">
      <c r="F932" s="225"/>
    </row>
    <row r="933">
      <c r="F933" s="225"/>
    </row>
    <row r="934">
      <c r="F934" s="225"/>
    </row>
    <row r="935">
      <c r="F935" s="225"/>
    </row>
    <row r="936">
      <c r="F936" s="225"/>
    </row>
    <row r="937">
      <c r="F937" s="225"/>
    </row>
    <row r="938">
      <c r="F938" s="225"/>
    </row>
    <row r="939">
      <c r="F939" s="225"/>
    </row>
    <row r="940">
      <c r="F940" s="225"/>
    </row>
    <row r="941">
      <c r="F941" s="225"/>
    </row>
    <row r="942">
      <c r="F942" s="225"/>
    </row>
    <row r="943">
      <c r="F943" s="225"/>
    </row>
    <row r="944">
      <c r="F944" s="225"/>
    </row>
    <row r="945">
      <c r="F945" s="225"/>
    </row>
    <row r="946">
      <c r="F946" s="225"/>
    </row>
    <row r="947">
      <c r="F947" s="225"/>
    </row>
    <row r="948">
      <c r="F948" s="225"/>
    </row>
    <row r="949">
      <c r="F949" s="225"/>
    </row>
    <row r="950">
      <c r="F950" s="225"/>
    </row>
    <row r="951">
      <c r="F951" s="225"/>
    </row>
    <row r="952">
      <c r="F952" s="225"/>
    </row>
    <row r="953">
      <c r="F953" s="225"/>
    </row>
    <row r="954">
      <c r="F954" s="225"/>
    </row>
    <row r="955">
      <c r="F955" s="225"/>
    </row>
    <row r="956">
      <c r="F956" s="225"/>
    </row>
    <row r="957">
      <c r="F957" s="225"/>
    </row>
    <row r="958">
      <c r="F958" s="225"/>
    </row>
    <row r="959">
      <c r="F959" s="225"/>
    </row>
    <row r="960">
      <c r="F960" s="225"/>
    </row>
    <row r="961">
      <c r="F961" s="225"/>
    </row>
    <row r="962">
      <c r="F962" s="225"/>
    </row>
    <row r="963">
      <c r="F963" s="225"/>
    </row>
    <row r="964">
      <c r="F964" s="225"/>
    </row>
    <row r="965">
      <c r="F965" s="225"/>
    </row>
    <row r="966">
      <c r="F966" s="225"/>
    </row>
    <row r="967">
      <c r="F967" s="225"/>
    </row>
    <row r="968">
      <c r="F968" s="225"/>
    </row>
    <row r="969">
      <c r="F969" s="225"/>
    </row>
    <row r="970">
      <c r="F970" s="225"/>
    </row>
    <row r="971">
      <c r="F971" s="225"/>
    </row>
    <row r="972">
      <c r="F972" s="225"/>
    </row>
    <row r="973">
      <c r="F973" s="225"/>
    </row>
    <row r="974">
      <c r="F974" s="225"/>
    </row>
    <row r="975">
      <c r="F975" s="225"/>
    </row>
    <row r="976">
      <c r="F976" s="225"/>
    </row>
    <row r="977">
      <c r="F977" s="225"/>
    </row>
    <row r="978">
      <c r="F978" s="225"/>
    </row>
    <row r="979">
      <c r="F979" s="225"/>
    </row>
    <row r="980">
      <c r="F980" s="225"/>
    </row>
    <row r="981">
      <c r="F981" s="225"/>
    </row>
    <row r="982">
      <c r="F982" s="225"/>
    </row>
    <row r="983">
      <c r="F983" s="225"/>
    </row>
    <row r="984">
      <c r="F984" s="225"/>
    </row>
    <row r="985">
      <c r="F985" s="225"/>
    </row>
    <row r="986">
      <c r="F986" s="225"/>
    </row>
    <row r="987">
      <c r="F987" s="225"/>
    </row>
    <row r="988">
      <c r="F988" s="225"/>
    </row>
    <row r="989">
      <c r="F989" s="225"/>
    </row>
    <row r="990">
      <c r="F990" s="225"/>
    </row>
    <row r="991">
      <c r="F991" s="225"/>
    </row>
    <row r="992">
      <c r="F992" s="225"/>
    </row>
    <row r="993">
      <c r="F993" s="225"/>
    </row>
    <row r="994">
      <c r="F994" s="225"/>
    </row>
    <row r="995">
      <c r="F995" s="225"/>
    </row>
    <row r="996">
      <c r="F996" s="225"/>
    </row>
    <row r="997">
      <c r="F997" s="225"/>
    </row>
    <row r="998">
      <c r="F998" s="225"/>
    </row>
    <row r="999">
      <c r="F999" s="225"/>
    </row>
    <row r="1000">
      <c r="F1000" s="225"/>
    </row>
    <row r="1001">
      <c r="F1001" s="225"/>
    </row>
    <row r="1002">
      <c r="F1002" s="225"/>
    </row>
    <row r="1003">
      <c r="F1003" s="225"/>
    </row>
    <row r="1004">
      <c r="F1004" s="225"/>
    </row>
    <row r="1005">
      <c r="F1005" s="225"/>
    </row>
    <row r="1006">
      <c r="F1006" s="225"/>
    </row>
    <row r="1007">
      <c r="F1007" s="225"/>
    </row>
    <row r="1008">
      <c r="F1008" s="225"/>
    </row>
    <row r="1009">
      <c r="F1009" s="225"/>
    </row>
    <row r="1010">
      <c r="F1010" s="225"/>
    </row>
    <row r="1011">
      <c r="F1011" s="225"/>
    </row>
    <row r="1012">
      <c r="F1012" s="225"/>
    </row>
    <row r="1013">
      <c r="F1013" s="225"/>
    </row>
    <row r="1014">
      <c r="F1014" s="225"/>
    </row>
    <row r="1015">
      <c r="F1015" s="225"/>
    </row>
    <row r="1016">
      <c r="F1016" s="225"/>
    </row>
    <row r="1017">
      <c r="F1017" s="225"/>
    </row>
    <row r="1018">
      <c r="F1018" s="225"/>
    </row>
    <row r="1019">
      <c r="F1019" s="225"/>
    </row>
    <row r="1020">
      <c r="F1020" s="225"/>
    </row>
    <row r="1021">
      <c r="F1021" s="225"/>
    </row>
    <row r="1022">
      <c r="F1022" s="225"/>
    </row>
    <row r="1023">
      <c r="F1023" s="225"/>
    </row>
    <row r="1024">
      <c r="F1024" s="225"/>
    </row>
    <row r="1025">
      <c r="F1025" s="225"/>
    </row>
    <row r="1026">
      <c r="F1026" s="225"/>
    </row>
    <row r="1027">
      <c r="F1027" s="225"/>
    </row>
    <row r="1028">
      <c r="F1028" s="225"/>
    </row>
    <row r="1029">
      <c r="F1029" s="225"/>
    </row>
    <row r="1030">
      <c r="F1030" s="225"/>
    </row>
    <row r="1031">
      <c r="F1031" s="225"/>
    </row>
    <row r="1032">
      <c r="F1032" s="225"/>
    </row>
    <row r="1033">
      <c r="F1033" s="225"/>
    </row>
    <row r="1034">
      <c r="F1034" s="225"/>
    </row>
    <row r="1035">
      <c r="F1035" s="225"/>
    </row>
    <row r="1036">
      <c r="F1036" s="225"/>
    </row>
    <row r="1037">
      <c r="F1037" s="225"/>
    </row>
    <row r="1038">
      <c r="F1038" s="225"/>
    </row>
    <row r="1039">
      <c r="F1039" s="225"/>
    </row>
    <row r="1040">
      <c r="F1040" s="225"/>
    </row>
    <row r="1041">
      <c r="F1041" s="225"/>
    </row>
    <row r="1042">
      <c r="F1042" s="225"/>
    </row>
    <row r="1043">
      <c r="F1043" s="225"/>
    </row>
    <row r="1044">
      <c r="F1044" s="225"/>
    </row>
    <row r="1045">
      <c r="F1045" s="225"/>
    </row>
    <row r="1046">
      <c r="F1046" s="225"/>
    </row>
    <row r="1047">
      <c r="F1047" s="225"/>
    </row>
    <row r="1048">
      <c r="F1048" s="225"/>
    </row>
    <row r="1049">
      <c r="F1049" s="225"/>
    </row>
    <row r="1050">
      <c r="F1050" s="225"/>
    </row>
    <row r="1051">
      <c r="F1051" s="225"/>
    </row>
    <row r="1052">
      <c r="F1052" s="225"/>
    </row>
    <row r="1053">
      <c r="F1053" s="225"/>
    </row>
    <row r="1054">
      <c r="F1054" s="225"/>
    </row>
    <row r="1055">
      <c r="F1055" s="225"/>
    </row>
    <row r="1056">
      <c r="F1056" s="225"/>
    </row>
    <row r="1057">
      <c r="F1057" s="225"/>
    </row>
    <row r="1058">
      <c r="F1058" s="225"/>
    </row>
    <row r="1059">
      <c r="F1059" s="225"/>
    </row>
    <row r="1060">
      <c r="F1060" s="225"/>
    </row>
    <row r="1061">
      <c r="F1061" s="225"/>
    </row>
    <row r="1062">
      <c r="F1062" s="225"/>
    </row>
    <row r="1063">
      <c r="F1063" s="225"/>
    </row>
    <row r="1064">
      <c r="F1064" s="225"/>
    </row>
    <row r="1065">
      <c r="F1065" s="225"/>
    </row>
    <row r="1066">
      <c r="F1066" s="225"/>
    </row>
    <row r="1067">
      <c r="F1067" s="225"/>
    </row>
    <row r="1068">
      <c r="F1068" s="225"/>
    </row>
    <row r="1069">
      <c r="F1069" s="225"/>
    </row>
    <row r="1070">
      <c r="F1070" s="225"/>
    </row>
    <row r="1071">
      <c r="F1071" s="225"/>
    </row>
    <row r="1072">
      <c r="F1072" s="225"/>
    </row>
    <row r="1073">
      <c r="F1073" s="225"/>
    </row>
    <row r="1074">
      <c r="F1074" s="225"/>
    </row>
    <row r="1075">
      <c r="F1075" s="225"/>
    </row>
    <row r="1076">
      <c r="F1076" s="225"/>
    </row>
    <row r="1077">
      <c r="F1077" s="225"/>
    </row>
    <row r="1078">
      <c r="F1078" s="225"/>
    </row>
    <row r="1079">
      <c r="F1079" s="225"/>
    </row>
    <row r="1080">
      <c r="F1080" s="225"/>
    </row>
    <row r="1081">
      <c r="F1081" s="225"/>
    </row>
    <row r="1082">
      <c r="F1082" s="225"/>
    </row>
    <row r="1083">
      <c r="F1083" s="225"/>
    </row>
    <row r="1084">
      <c r="F1084" s="225"/>
    </row>
    <row r="1085">
      <c r="F1085" s="225"/>
    </row>
    <row r="1086">
      <c r="F1086" s="225"/>
    </row>
    <row r="1087">
      <c r="F1087" s="225"/>
    </row>
    <row r="1088">
      <c r="F1088" s="225"/>
    </row>
    <row r="1089">
      <c r="F1089" s="225"/>
    </row>
    <row r="1090">
      <c r="F1090" s="225"/>
    </row>
    <row r="1091">
      <c r="F1091" s="225"/>
    </row>
    <row r="1092">
      <c r="F1092" s="225"/>
    </row>
    <row r="1093">
      <c r="F1093" s="225"/>
    </row>
    <row r="1094">
      <c r="F1094" s="225"/>
    </row>
    <row r="1095">
      <c r="F1095" s="225"/>
    </row>
    <row r="1096">
      <c r="F1096" s="225"/>
    </row>
    <row r="1097">
      <c r="F1097" s="225"/>
    </row>
    <row r="1098">
      <c r="F1098" s="225"/>
    </row>
    <row r="1099">
      <c r="F1099" s="225"/>
    </row>
    <row r="1100">
      <c r="F1100" s="225"/>
    </row>
    <row r="1101">
      <c r="F1101" s="225"/>
    </row>
    <row r="1102">
      <c r="F1102" s="225"/>
    </row>
    <row r="1103">
      <c r="F1103" s="225"/>
    </row>
    <row r="1104">
      <c r="F1104" s="225"/>
    </row>
    <row r="1105">
      <c r="F1105" s="225"/>
    </row>
    <row r="1106">
      <c r="F1106" s="225"/>
    </row>
    <row r="1107">
      <c r="F1107" s="225"/>
    </row>
    <row r="1108">
      <c r="F1108" s="225"/>
    </row>
    <row r="1109">
      <c r="F1109" s="225"/>
    </row>
    <row r="1110">
      <c r="F1110" s="225"/>
    </row>
    <row r="1111">
      <c r="F1111" s="225"/>
    </row>
    <row r="1112">
      <c r="F1112" s="225"/>
    </row>
    <row r="1113">
      <c r="F1113" s="225"/>
    </row>
    <row r="1114">
      <c r="F1114" s="225"/>
    </row>
    <row r="1115">
      <c r="F1115" s="225"/>
    </row>
    <row r="1116">
      <c r="F1116" s="225"/>
    </row>
    <row r="1117">
      <c r="F1117" s="225"/>
    </row>
    <row r="1118">
      <c r="F1118" s="225"/>
    </row>
    <row r="1119">
      <c r="F1119" s="225"/>
    </row>
    <row r="1120">
      <c r="F1120" s="225"/>
    </row>
    <row r="1121">
      <c r="F1121" s="225"/>
    </row>
    <row r="1122">
      <c r="F1122" s="225"/>
    </row>
    <row r="1123">
      <c r="F1123" s="225"/>
    </row>
    <row r="1124">
      <c r="F1124" s="225"/>
    </row>
    <row r="1125">
      <c r="F1125" s="225"/>
    </row>
    <row r="1126">
      <c r="F1126" s="225"/>
    </row>
    <row r="1127">
      <c r="F1127" s="225"/>
    </row>
    <row r="1128">
      <c r="F1128" s="225"/>
    </row>
    <row r="1129">
      <c r="F1129" s="225"/>
    </row>
    <row r="1130">
      <c r="F1130" s="225"/>
    </row>
    <row r="1131">
      <c r="F1131" s="225"/>
    </row>
    <row r="1132">
      <c r="F1132" s="225"/>
    </row>
    <row r="1133">
      <c r="F1133" s="225"/>
    </row>
    <row r="1134">
      <c r="F1134" s="225"/>
    </row>
    <row r="1135">
      <c r="F1135" s="225"/>
    </row>
    <row r="1136">
      <c r="F1136" s="225"/>
    </row>
    <row r="1137">
      <c r="F1137" s="225"/>
    </row>
    <row r="1138">
      <c r="F1138" s="225"/>
    </row>
    <row r="1139">
      <c r="F1139" s="225"/>
    </row>
    <row r="1140">
      <c r="F1140" s="225"/>
    </row>
    <row r="1141">
      <c r="F1141" s="225"/>
    </row>
    <row r="1142">
      <c r="F1142" s="225"/>
    </row>
    <row r="1143">
      <c r="F1143" s="225"/>
    </row>
    <row r="1144">
      <c r="F1144" s="225"/>
    </row>
    <row r="1145">
      <c r="F1145" s="225"/>
    </row>
    <row r="1146">
      <c r="F1146" s="225"/>
    </row>
    <row r="1147">
      <c r="F1147" s="225"/>
    </row>
    <row r="1148">
      <c r="F1148" s="225"/>
    </row>
    <row r="1149">
      <c r="F1149" s="225"/>
    </row>
    <row r="1150">
      <c r="F1150" s="225"/>
    </row>
    <row r="1151">
      <c r="F1151" s="225"/>
    </row>
    <row r="1152">
      <c r="F1152" s="225"/>
    </row>
    <row r="1153">
      <c r="F1153" s="225"/>
    </row>
    <row r="1154">
      <c r="F1154" s="225"/>
    </row>
    <row r="1155">
      <c r="F1155" s="225"/>
    </row>
    <row r="1156">
      <c r="F1156" s="225"/>
    </row>
    <row r="1157">
      <c r="F1157" s="225"/>
    </row>
    <row r="1158">
      <c r="F1158" s="225"/>
    </row>
    <row r="1159">
      <c r="F1159" s="225"/>
    </row>
    <row r="1160">
      <c r="F1160" s="225"/>
    </row>
    <row r="1161">
      <c r="F1161" s="225"/>
    </row>
    <row r="1162">
      <c r="F1162" s="225"/>
    </row>
    <row r="1163">
      <c r="F1163" s="225"/>
    </row>
    <row r="1164">
      <c r="F1164" s="225"/>
    </row>
    <row r="1165">
      <c r="F1165" s="225"/>
    </row>
    <row r="1166">
      <c r="F1166" s="225"/>
    </row>
    <row r="1167">
      <c r="F1167" s="225"/>
    </row>
    <row r="1168">
      <c r="F1168" s="225"/>
    </row>
  </sheetData>
  <mergeCells count="25">
    <mergeCell ref="I1:W1"/>
    <mergeCell ref="A3:A20"/>
    <mergeCell ref="A21:A31"/>
    <mergeCell ref="A32:A75"/>
    <mergeCell ref="A76:A103"/>
    <mergeCell ref="A104:A118"/>
    <mergeCell ref="A119:A129"/>
    <mergeCell ref="A130:A170"/>
    <mergeCell ref="A171:A198"/>
    <mergeCell ref="A199:A210"/>
    <mergeCell ref="A211:A219"/>
    <mergeCell ref="A220:A243"/>
    <mergeCell ref="A244:A258"/>
    <mergeCell ref="A259:A268"/>
    <mergeCell ref="A344:A348"/>
    <mergeCell ref="A349:A352"/>
    <mergeCell ref="A353:A388"/>
    <mergeCell ref="A389:A418"/>
    <mergeCell ref="A269:A275"/>
    <mergeCell ref="A276:A292"/>
    <mergeCell ref="A293:A303"/>
    <mergeCell ref="A304:A308"/>
    <mergeCell ref="A309:A312"/>
    <mergeCell ref="A313:A328"/>
    <mergeCell ref="A329:A343"/>
  </mergeCells>
  <hyperlinks>
    <hyperlink r:id="rId1" ref="C3"/>
    <hyperlink r:id="rId2" ref="C6"/>
    <hyperlink r:id="rId3" ref="C7"/>
    <hyperlink r:id="rId4" ref="C8"/>
    <hyperlink r:id="rId5" ref="C9"/>
    <hyperlink r:id="rId6" ref="C10"/>
    <hyperlink r:id="rId7" ref="C11"/>
    <hyperlink r:id="rId8" ref="C13"/>
    <hyperlink r:id="rId9" ref="C15"/>
    <hyperlink r:id="rId10" ref="C16"/>
    <hyperlink r:id="rId11" ref="C17"/>
    <hyperlink r:id="rId12" ref="C18"/>
    <hyperlink r:id="rId13" ref="C19"/>
    <hyperlink r:id="rId14" ref="C20"/>
    <hyperlink r:id="rId15" ref="C21"/>
    <hyperlink r:id="rId16" ref="C22"/>
    <hyperlink r:id="rId17" ref="C23"/>
    <hyperlink r:id="rId18" ref="C24"/>
    <hyperlink r:id="rId19" ref="C25"/>
    <hyperlink r:id="rId20" ref="C26"/>
    <hyperlink r:id="rId21" ref="C27"/>
    <hyperlink r:id="rId22" ref="C28"/>
    <hyperlink r:id="rId23" ref="C29"/>
    <hyperlink r:id="rId24" ref="C30"/>
    <hyperlink r:id="rId25" ref="C31"/>
    <hyperlink r:id="rId26" ref="C32"/>
    <hyperlink r:id="rId27" ref="C33"/>
    <hyperlink r:id="rId28" ref="C34"/>
    <hyperlink r:id="rId29" ref="C35"/>
    <hyperlink r:id="rId30" ref="C36"/>
    <hyperlink r:id="rId31" ref="C37"/>
    <hyperlink r:id="rId32" ref="C39"/>
    <hyperlink r:id="rId33" ref="C40"/>
    <hyperlink r:id="rId34" ref="C41"/>
    <hyperlink r:id="rId35" ref="C43"/>
    <hyperlink r:id="rId36" ref="C44"/>
    <hyperlink r:id="rId37" ref="C45"/>
    <hyperlink r:id="rId38" ref="C46"/>
    <hyperlink r:id="rId39" ref="C48"/>
    <hyperlink r:id="rId40" ref="C49"/>
    <hyperlink r:id="rId41" ref="C50"/>
    <hyperlink r:id="rId42" ref="C51"/>
    <hyperlink r:id="rId43" ref="C52"/>
    <hyperlink r:id="rId44" ref="C53"/>
    <hyperlink r:id="rId45" ref="C54"/>
    <hyperlink r:id="rId46" ref="C56"/>
    <hyperlink r:id="rId47" ref="C57"/>
    <hyperlink r:id="rId48" ref="C58"/>
    <hyperlink r:id="rId49" ref="C59"/>
    <hyperlink r:id="rId50" ref="C60"/>
    <hyperlink r:id="rId51" ref="C61"/>
    <hyperlink r:id="rId52" ref="C63"/>
    <hyperlink r:id="rId53" ref="C64"/>
    <hyperlink r:id="rId54" ref="C65"/>
    <hyperlink r:id="rId55" ref="C66"/>
    <hyperlink r:id="rId56" ref="C67"/>
    <hyperlink r:id="rId57" ref="C68"/>
    <hyperlink r:id="rId58" ref="C69"/>
    <hyperlink r:id="rId59" ref="C70"/>
    <hyperlink r:id="rId60" ref="C71"/>
    <hyperlink r:id="rId61" ref="C72"/>
    <hyperlink r:id="rId62" ref="C73"/>
    <hyperlink r:id="rId63" ref="C74"/>
    <hyperlink r:id="rId64" ref="C75"/>
    <hyperlink r:id="rId65" ref="C77"/>
    <hyperlink r:id="rId66" ref="C78"/>
    <hyperlink r:id="rId67" ref="C80"/>
    <hyperlink r:id="rId68" ref="C81"/>
    <hyperlink r:id="rId69" ref="C82"/>
    <hyperlink r:id="rId70" ref="C84"/>
    <hyperlink r:id="rId71" ref="C85"/>
    <hyperlink r:id="rId72" ref="C86"/>
    <hyperlink r:id="rId73" ref="C87"/>
    <hyperlink r:id="rId74" ref="C88"/>
    <hyperlink r:id="rId75" ref="C89"/>
    <hyperlink r:id="rId76" ref="C90"/>
    <hyperlink r:id="rId77" ref="C91"/>
    <hyperlink r:id="rId78" ref="C92"/>
    <hyperlink r:id="rId79" ref="C93"/>
    <hyperlink r:id="rId80" ref="C94"/>
    <hyperlink r:id="rId81" ref="C95"/>
    <hyperlink r:id="rId82" ref="C96"/>
    <hyperlink r:id="rId83" ref="C97"/>
    <hyperlink r:id="rId84" ref="C98"/>
    <hyperlink r:id="rId85" ref="C99"/>
    <hyperlink r:id="rId86" ref="C100"/>
    <hyperlink r:id="rId87" ref="C101"/>
    <hyperlink r:id="rId88" ref="C102"/>
    <hyperlink r:id="rId89" ref="C103"/>
    <hyperlink r:id="rId90" ref="C104"/>
    <hyperlink r:id="rId91" ref="C105"/>
    <hyperlink r:id="rId92" ref="C106"/>
    <hyperlink r:id="rId93" ref="C107"/>
    <hyperlink r:id="rId94" ref="C108"/>
    <hyperlink r:id="rId95" ref="C109"/>
    <hyperlink r:id="rId96" ref="C110"/>
    <hyperlink r:id="rId97" ref="C111"/>
    <hyperlink r:id="rId98" ref="C112"/>
    <hyperlink r:id="rId99" ref="C113"/>
    <hyperlink r:id="rId100" ref="C114"/>
    <hyperlink r:id="rId101" ref="C115"/>
    <hyperlink r:id="rId102" ref="C116"/>
    <hyperlink r:id="rId103" ref="C117"/>
    <hyperlink r:id="rId104" ref="C118"/>
    <hyperlink r:id="rId105" ref="C119"/>
    <hyperlink r:id="rId106" ref="C120"/>
    <hyperlink r:id="rId107" ref="C121"/>
    <hyperlink r:id="rId108" ref="C122"/>
    <hyperlink r:id="rId109" ref="C123"/>
    <hyperlink r:id="rId110" ref="C124"/>
    <hyperlink r:id="rId111" ref="C125"/>
    <hyperlink r:id="rId112" ref="C126"/>
    <hyperlink r:id="rId113" ref="C127"/>
    <hyperlink r:id="rId114" ref="C128"/>
    <hyperlink r:id="rId115" ref="C129"/>
    <hyperlink r:id="rId116" ref="C130"/>
    <hyperlink r:id="rId117" ref="C131"/>
    <hyperlink r:id="rId118" ref="C132"/>
    <hyperlink r:id="rId119" ref="C133"/>
    <hyperlink r:id="rId120" ref="C134"/>
    <hyperlink r:id="rId121" ref="C135"/>
    <hyperlink r:id="rId122" ref="C136"/>
    <hyperlink r:id="rId123" ref="C137"/>
    <hyperlink r:id="rId124" ref="C138"/>
    <hyperlink r:id="rId125" ref="C139"/>
    <hyperlink r:id="rId126" ref="C140"/>
    <hyperlink r:id="rId127" ref="C141"/>
    <hyperlink r:id="rId128" ref="C142"/>
    <hyperlink r:id="rId129" ref="C143"/>
    <hyperlink r:id="rId130" ref="C144"/>
    <hyperlink r:id="rId131" ref="C145"/>
    <hyperlink r:id="rId132" ref="C146"/>
    <hyperlink r:id="rId133" ref="C147"/>
    <hyperlink r:id="rId134" ref="C148"/>
    <hyperlink r:id="rId135" ref="C149"/>
    <hyperlink r:id="rId136" ref="C150"/>
    <hyperlink r:id="rId137" ref="C151"/>
    <hyperlink r:id="rId138" ref="C152"/>
    <hyperlink r:id="rId139" ref="C153"/>
    <hyperlink r:id="rId140" ref="C154"/>
    <hyperlink r:id="rId141" ref="C155"/>
    <hyperlink r:id="rId142" ref="C156"/>
    <hyperlink r:id="rId143" ref="C157"/>
    <hyperlink r:id="rId144" ref="C158"/>
    <hyperlink r:id="rId145" ref="C159"/>
    <hyperlink r:id="rId146" ref="C160"/>
    <hyperlink r:id="rId147" ref="C161"/>
    <hyperlink r:id="rId148" ref="C162"/>
    <hyperlink r:id="rId149" ref="C163"/>
    <hyperlink r:id="rId150" ref="C164"/>
    <hyperlink r:id="rId151" ref="C165"/>
    <hyperlink r:id="rId152" ref="C166"/>
    <hyperlink r:id="rId153" ref="C167"/>
    <hyperlink r:id="rId154" ref="C168"/>
    <hyperlink r:id="rId155" ref="C169"/>
    <hyperlink r:id="rId156" ref="C170"/>
    <hyperlink r:id="rId157" ref="C171"/>
    <hyperlink r:id="rId158" ref="C172"/>
    <hyperlink r:id="rId159" ref="C173"/>
    <hyperlink r:id="rId160" ref="C174"/>
    <hyperlink r:id="rId161" ref="C175"/>
    <hyperlink r:id="rId162" ref="C176"/>
    <hyperlink r:id="rId163" ref="C177"/>
    <hyperlink r:id="rId164" ref="C178"/>
    <hyperlink r:id="rId165" ref="C179"/>
    <hyperlink r:id="rId166" ref="C180"/>
    <hyperlink r:id="rId167" ref="C181"/>
    <hyperlink r:id="rId168" ref="C182"/>
    <hyperlink r:id="rId169" ref="C183"/>
    <hyperlink r:id="rId170" ref="C184"/>
    <hyperlink r:id="rId171" ref="C185"/>
    <hyperlink r:id="rId172" ref="C186"/>
    <hyperlink r:id="rId173" ref="C187"/>
    <hyperlink r:id="rId174" ref="C188"/>
    <hyperlink r:id="rId175" ref="C189"/>
    <hyperlink r:id="rId176" ref="C190"/>
    <hyperlink r:id="rId177" ref="C191"/>
    <hyperlink r:id="rId178" ref="C192"/>
    <hyperlink r:id="rId179" ref="C193"/>
    <hyperlink r:id="rId180" ref="C194"/>
    <hyperlink r:id="rId181" ref="C195"/>
    <hyperlink r:id="rId182" ref="C196"/>
    <hyperlink r:id="rId183" ref="C197"/>
    <hyperlink r:id="rId184" ref="C198"/>
    <hyperlink r:id="rId185" ref="C199"/>
    <hyperlink r:id="rId186" ref="C200"/>
    <hyperlink r:id="rId187" ref="C201"/>
    <hyperlink r:id="rId188" ref="C202"/>
    <hyperlink r:id="rId189" ref="C203"/>
    <hyperlink r:id="rId190" ref="C204"/>
    <hyperlink r:id="rId191" ref="C205"/>
    <hyperlink r:id="rId192" ref="C206"/>
    <hyperlink r:id="rId193" ref="C207"/>
    <hyperlink r:id="rId194" ref="C208"/>
    <hyperlink r:id="rId195" ref="C209"/>
    <hyperlink r:id="rId196" ref="C210"/>
    <hyperlink r:id="rId197" ref="C211"/>
    <hyperlink r:id="rId198" ref="C212"/>
    <hyperlink r:id="rId199" ref="C213"/>
    <hyperlink r:id="rId200" ref="C214"/>
    <hyperlink r:id="rId201" ref="C215"/>
    <hyperlink r:id="rId202" ref="C216"/>
    <hyperlink r:id="rId203" ref="C217"/>
    <hyperlink r:id="rId204" ref="C218"/>
    <hyperlink r:id="rId205" ref="C219"/>
    <hyperlink r:id="rId206" ref="C220"/>
    <hyperlink r:id="rId207" ref="C221"/>
    <hyperlink r:id="rId208" ref="C222"/>
    <hyperlink r:id="rId209" ref="C223"/>
    <hyperlink r:id="rId210" ref="C224"/>
    <hyperlink r:id="rId211" ref="C225"/>
    <hyperlink r:id="rId212" ref="C226"/>
    <hyperlink r:id="rId213" ref="C227"/>
    <hyperlink r:id="rId214" ref="C228"/>
    <hyperlink r:id="rId215" ref="C229"/>
    <hyperlink r:id="rId216" ref="C230"/>
    <hyperlink r:id="rId217" ref="C231"/>
    <hyperlink r:id="rId218" ref="C232"/>
    <hyperlink r:id="rId219" ref="C233"/>
    <hyperlink r:id="rId220" ref="C234"/>
    <hyperlink r:id="rId221" ref="C235"/>
    <hyperlink r:id="rId222" ref="C236"/>
    <hyperlink r:id="rId223" ref="C237"/>
    <hyperlink r:id="rId224" ref="C238"/>
    <hyperlink r:id="rId225" ref="C239"/>
    <hyperlink r:id="rId226" ref="C240"/>
    <hyperlink r:id="rId227" ref="C241"/>
    <hyperlink r:id="rId228" ref="C242"/>
    <hyperlink r:id="rId229" ref="C243"/>
    <hyperlink r:id="rId230" ref="C244"/>
    <hyperlink r:id="rId231" ref="C245"/>
    <hyperlink r:id="rId232" ref="C246"/>
    <hyperlink r:id="rId233" ref="C247"/>
    <hyperlink r:id="rId234" ref="C248"/>
    <hyperlink r:id="rId235" ref="C249"/>
    <hyperlink r:id="rId236" ref="C250"/>
    <hyperlink r:id="rId237" ref="C251"/>
    <hyperlink r:id="rId238" ref="C252"/>
    <hyperlink r:id="rId239" ref="C253"/>
    <hyperlink r:id="rId240" ref="C254"/>
    <hyperlink r:id="rId241" ref="C255"/>
    <hyperlink r:id="rId242" ref="C256"/>
    <hyperlink r:id="rId243" ref="C257"/>
    <hyperlink r:id="rId244" ref="C258"/>
    <hyperlink r:id="rId245" ref="C259"/>
    <hyperlink r:id="rId246" ref="C260"/>
    <hyperlink r:id="rId247" ref="C261"/>
    <hyperlink r:id="rId248" ref="C262"/>
    <hyperlink r:id="rId249" ref="C263"/>
    <hyperlink r:id="rId250" ref="C264"/>
    <hyperlink r:id="rId251" ref="C265"/>
    <hyperlink r:id="rId252" ref="C266"/>
    <hyperlink r:id="rId253" ref="C267"/>
    <hyperlink r:id="rId254" ref="C268"/>
    <hyperlink r:id="rId255" ref="C270"/>
    <hyperlink r:id="rId256" ref="C272"/>
    <hyperlink r:id="rId257" ref="C273"/>
    <hyperlink r:id="rId258" ref="C274"/>
    <hyperlink r:id="rId259" ref="C275"/>
    <hyperlink r:id="rId260" ref="C276"/>
    <hyperlink r:id="rId261" ref="C277"/>
    <hyperlink r:id="rId262" ref="C278"/>
    <hyperlink r:id="rId263" ref="C279"/>
    <hyperlink r:id="rId264" ref="C280"/>
    <hyperlink r:id="rId265" ref="C281"/>
    <hyperlink r:id="rId266" ref="C282"/>
    <hyperlink r:id="rId267" ref="C283"/>
    <hyperlink r:id="rId268" ref="C284"/>
    <hyperlink r:id="rId269" ref="C285"/>
    <hyperlink r:id="rId270" ref="C286"/>
    <hyperlink r:id="rId271" ref="C287"/>
    <hyperlink r:id="rId272" ref="C288"/>
    <hyperlink r:id="rId273" ref="C289"/>
    <hyperlink r:id="rId274" ref="C290"/>
    <hyperlink r:id="rId275" ref="C291"/>
    <hyperlink r:id="rId276" ref="C292"/>
    <hyperlink r:id="rId277" ref="C293"/>
    <hyperlink r:id="rId278" ref="C294"/>
    <hyperlink r:id="rId279" ref="C295"/>
    <hyperlink r:id="rId280" ref="C296"/>
    <hyperlink r:id="rId281" ref="C297"/>
    <hyperlink r:id="rId282" ref="C298"/>
    <hyperlink r:id="rId283" ref="C299"/>
    <hyperlink r:id="rId284" ref="C300"/>
    <hyperlink r:id="rId285" ref="C301"/>
    <hyperlink r:id="rId286" ref="C302"/>
    <hyperlink r:id="rId287" ref="C303"/>
    <hyperlink r:id="rId288" ref="C304"/>
    <hyperlink r:id="rId289" ref="C305"/>
    <hyperlink r:id="rId290" ref="C308"/>
    <hyperlink r:id="rId291" ref="C309"/>
    <hyperlink r:id="rId292" ref="C310"/>
    <hyperlink r:id="rId293" ref="C311"/>
    <hyperlink r:id="rId294" ref="C313"/>
    <hyperlink r:id="rId295" ref="C314"/>
    <hyperlink r:id="rId296" ref="C315"/>
    <hyperlink r:id="rId297" ref="C316"/>
    <hyperlink r:id="rId298" ref="C318"/>
    <hyperlink r:id="rId299" ref="C319"/>
    <hyperlink r:id="rId300" ref="C320"/>
    <hyperlink r:id="rId301" ref="C321"/>
    <hyperlink r:id="rId302" ref="C326"/>
    <hyperlink r:id="rId303" ref="C328"/>
    <hyperlink r:id="rId304" ref="C329"/>
    <hyperlink r:id="rId305" ref="C330"/>
    <hyperlink r:id="rId306" ref="C331"/>
    <hyperlink r:id="rId307" ref="C332"/>
    <hyperlink r:id="rId308" ref="C333"/>
    <hyperlink r:id="rId309" ref="C334"/>
    <hyperlink r:id="rId310" ref="C335"/>
    <hyperlink r:id="rId311" ref="C336"/>
    <hyperlink r:id="rId312" ref="C337"/>
    <hyperlink r:id="rId313" ref="C338"/>
    <hyperlink r:id="rId314" ref="C339"/>
    <hyperlink r:id="rId315" ref="C340"/>
    <hyperlink r:id="rId316" ref="C341"/>
    <hyperlink r:id="rId317" ref="C342"/>
    <hyperlink r:id="rId318" ref="C343"/>
    <hyperlink r:id="rId319" ref="C345"/>
    <hyperlink r:id="rId320" ref="C346"/>
    <hyperlink r:id="rId321" ref="C347"/>
    <hyperlink r:id="rId322" ref="C349"/>
    <hyperlink r:id="rId323" ref="C350"/>
    <hyperlink r:id="rId324" ref="C351"/>
    <hyperlink r:id="rId325" ref="C352"/>
    <hyperlink r:id="rId326" ref="C353"/>
    <hyperlink r:id="rId327" ref="C359"/>
    <hyperlink r:id="rId328" ref="C383"/>
    <hyperlink r:id="rId329" ref="C390"/>
    <hyperlink r:id="rId330" ref="C392"/>
    <hyperlink r:id="rId331" ref="C394"/>
    <hyperlink r:id="rId332" ref="C397"/>
    <hyperlink r:id="rId333" ref="C398"/>
    <hyperlink r:id="rId334" ref="C399"/>
    <hyperlink r:id="rId335" ref="C406"/>
    <hyperlink r:id="rId336" ref="C408"/>
    <hyperlink r:id="rId337" ref="C409"/>
    <hyperlink r:id="rId338" ref="C411"/>
    <hyperlink r:id="rId339" ref="C415"/>
    <hyperlink r:id="rId340" ref="C417"/>
  </hyperlinks>
  <drawing r:id="rId34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25"/>
  </cols>
  <sheetData>
    <row r="1">
      <c r="A1" s="368" t="s">
        <v>2024</v>
      </c>
      <c r="B1" s="544" t="s">
        <v>3915</v>
      </c>
      <c r="C1" s="545" t="s">
        <v>3916</v>
      </c>
    </row>
    <row r="2">
      <c r="A2" s="368" t="s">
        <v>1982</v>
      </c>
      <c r="B2" s="544" t="s">
        <v>3928</v>
      </c>
      <c r="C2" s="545" t="s">
        <v>3929</v>
      </c>
    </row>
    <row r="3">
      <c r="A3" s="368" t="s">
        <v>2120</v>
      </c>
      <c r="B3" s="544" t="s">
        <v>3873</v>
      </c>
      <c r="C3" s="545" t="s">
        <v>3874</v>
      </c>
    </row>
    <row r="4">
      <c r="A4" s="368" t="s">
        <v>2105</v>
      </c>
      <c r="B4" s="544" t="s">
        <v>3881</v>
      </c>
      <c r="C4" s="545" t="s">
        <v>3874</v>
      </c>
    </row>
    <row r="5">
      <c r="A5" s="368" t="s">
        <v>2090</v>
      </c>
      <c r="B5" s="544" t="s">
        <v>3888</v>
      </c>
      <c r="C5" s="545" t="s">
        <v>3874</v>
      </c>
    </row>
    <row r="6">
      <c r="A6" s="368" t="s">
        <v>2075</v>
      </c>
      <c r="B6" s="544" t="s">
        <v>2558</v>
      </c>
      <c r="C6" s="545" t="s">
        <v>3874</v>
      </c>
    </row>
    <row r="7">
      <c r="A7" s="368" t="s">
        <v>2060</v>
      </c>
      <c r="B7" s="544" t="s">
        <v>2507</v>
      </c>
      <c r="C7" s="545" t="s">
        <v>3874</v>
      </c>
    </row>
    <row r="8">
      <c r="A8" s="368" t="s">
        <v>2029</v>
      </c>
      <c r="B8" s="544" t="s">
        <v>3912</v>
      </c>
      <c r="C8" s="545" t="s">
        <v>3874</v>
      </c>
    </row>
    <row r="9">
      <c r="A9" s="368" t="s">
        <v>2100</v>
      </c>
      <c r="B9" s="544" t="s">
        <v>3757</v>
      </c>
      <c r="C9" s="545">
        <v>5.0</v>
      </c>
    </row>
    <row r="10">
      <c r="A10" s="368" t="s">
        <v>2003</v>
      </c>
      <c r="B10" s="544" t="s">
        <v>3759</v>
      </c>
      <c r="C10" s="545">
        <v>5.0</v>
      </c>
    </row>
    <row r="11">
      <c r="A11" s="368" t="s">
        <v>2125</v>
      </c>
      <c r="B11" s="544" t="s">
        <v>2551</v>
      </c>
      <c r="C11" s="545">
        <v>4.0</v>
      </c>
    </row>
    <row r="12">
      <c r="A12" s="368" t="s">
        <v>2110</v>
      </c>
      <c r="B12" s="544" t="s">
        <v>3762</v>
      </c>
      <c r="C12" s="545">
        <v>4.0</v>
      </c>
    </row>
    <row r="13">
      <c r="A13" s="368" t="s">
        <v>2085</v>
      </c>
      <c r="B13" s="544" t="s">
        <v>2572</v>
      </c>
      <c r="C13" s="545">
        <v>4.0</v>
      </c>
    </row>
    <row r="14">
      <c r="A14" s="368" t="s">
        <v>2080</v>
      </c>
      <c r="B14" s="544" t="s">
        <v>2565</v>
      </c>
      <c r="C14" s="545">
        <v>4.0</v>
      </c>
    </row>
    <row r="15">
      <c r="A15" s="368" t="s">
        <v>2055</v>
      </c>
      <c r="B15" s="544" t="s">
        <v>3765</v>
      </c>
      <c r="C15" s="545">
        <v>4.0</v>
      </c>
    </row>
    <row r="16">
      <c r="A16" s="368" t="s">
        <v>2050</v>
      </c>
      <c r="B16" s="544" t="s">
        <v>3767</v>
      </c>
      <c r="C16" s="545">
        <v>4.0</v>
      </c>
    </row>
    <row r="17">
      <c r="A17" s="368" t="s">
        <v>2045</v>
      </c>
      <c r="B17" s="544" t="s">
        <v>3904</v>
      </c>
      <c r="C17" s="545">
        <v>4.0</v>
      </c>
    </row>
    <row r="18">
      <c r="A18" s="368" t="s">
        <v>2034</v>
      </c>
      <c r="B18" s="544" t="s">
        <v>3909</v>
      </c>
      <c r="C18" s="545">
        <v>4.0</v>
      </c>
    </row>
    <row r="19">
      <c r="A19" s="368" t="s">
        <v>2008</v>
      </c>
      <c r="B19" s="544" t="s">
        <v>3769</v>
      </c>
      <c r="C19" s="545">
        <v>4.0</v>
      </c>
    </row>
    <row r="20">
      <c r="A20" s="368" t="s">
        <v>1997</v>
      </c>
      <c r="B20" s="544" t="s">
        <v>3923</v>
      </c>
      <c r="C20" s="545">
        <v>4.0</v>
      </c>
    </row>
    <row r="21">
      <c r="A21" s="368" t="s">
        <v>1977</v>
      </c>
      <c r="B21" s="544" t="s">
        <v>3771</v>
      </c>
      <c r="C21" s="545">
        <v>4.0</v>
      </c>
    </row>
    <row r="22">
      <c r="A22" s="368" t="s">
        <v>2130</v>
      </c>
      <c r="B22" s="544" t="s">
        <v>3868</v>
      </c>
      <c r="C22" s="545">
        <v>3.0</v>
      </c>
    </row>
    <row r="23">
      <c r="A23" s="368" t="s">
        <v>2115</v>
      </c>
      <c r="B23" s="544" t="s">
        <v>3877</v>
      </c>
      <c r="C23" s="545">
        <v>3.0</v>
      </c>
    </row>
    <row r="24">
      <c r="A24" s="368" t="s">
        <v>2095</v>
      </c>
      <c r="B24" s="544" t="s">
        <v>642</v>
      </c>
      <c r="C24" s="545">
        <v>3.0</v>
      </c>
    </row>
    <row r="25">
      <c r="A25" s="368" t="s">
        <v>2070</v>
      </c>
      <c r="B25" s="544" t="s">
        <v>3896</v>
      </c>
      <c r="C25" s="545">
        <v>3.0</v>
      </c>
    </row>
    <row r="26">
      <c r="A26" s="368" t="s">
        <v>2040</v>
      </c>
      <c r="B26" s="544" t="s">
        <v>3907</v>
      </c>
      <c r="C26" s="545">
        <v>3.0</v>
      </c>
    </row>
    <row r="27">
      <c r="A27" s="368" t="s">
        <v>1987</v>
      </c>
      <c r="B27" s="544" t="s">
        <v>3926</v>
      </c>
      <c r="C27" s="545">
        <v>3.0</v>
      </c>
    </row>
    <row r="28">
      <c r="A28" s="368" t="s">
        <v>2065</v>
      </c>
      <c r="B28" s="544" t="s">
        <v>2513</v>
      </c>
      <c r="C28" s="545">
        <v>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4" max="5" width="17.13"/>
    <col customWidth="1" min="6" max="6" width="16.13"/>
  </cols>
  <sheetData>
    <row r="1">
      <c r="A1" s="89" t="s">
        <v>4542</v>
      </c>
      <c r="B1" s="89" t="s">
        <v>4543</v>
      </c>
      <c r="C1" s="89" t="s">
        <v>4544</v>
      </c>
      <c r="D1" s="89" t="s">
        <v>4545</v>
      </c>
      <c r="E1" s="89" t="s">
        <v>4546</v>
      </c>
      <c r="F1" s="89" t="s">
        <v>4547</v>
      </c>
      <c r="G1" s="89" t="s">
        <v>4548</v>
      </c>
      <c r="H1" s="89" t="s">
        <v>4549</v>
      </c>
    </row>
    <row r="2">
      <c r="A2" s="89"/>
      <c r="B2" s="92"/>
      <c r="C2" s="89" t="s">
        <v>4550</v>
      </c>
      <c r="D2" s="89" t="s">
        <v>4551</v>
      </c>
      <c r="E2" s="89"/>
      <c r="F2" s="89" t="s">
        <v>4552</v>
      </c>
      <c r="G2" s="89" t="s">
        <v>4553</v>
      </c>
      <c r="H2" s="92"/>
    </row>
    <row r="3">
      <c r="A3" s="89" t="s">
        <v>4554</v>
      </c>
      <c r="B3" s="92"/>
      <c r="C3" s="89" t="s">
        <v>4555</v>
      </c>
      <c r="D3" s="89" t="s">
        <v>4556</v>
      </c>
      <c r="E3" s="89"/>
      <c r="F3" s="89" t="s">
        <v>4557</v>
      </c>
      <c r="G3" s="89" t="s">
        <v>4558</v>
      </c>
      <c r="H3" s="89" t="s">
        <v>4559</v>
      </c>
    </row>
    <row r="4">
      <c r="A4" s="92"/>
      <c r="B4" s="92"/>
      <c r="C4" s="89" t="s">
        <v>4560</v>
      </c>
      <c r="D4" s="92"/>
      <c r="E4" s="92"/>
      <c r="F4" s="92"/>
      <c r="G4" s="92"/>
      <c r="H4" s="92"/>
    </row>
    <row r="5">
      <c r="A5" s="92"/>
      <c r="B5" s="92"/>
      <c r="C5" s="89" t="s">
        <v>4561</v>
      </c>
      <c r="D5" s="92"/>
      <c r="E5" s="92"/>
      <c r="F5" s="92"/>
      <c r="G5" s="92"/>
      <c r="H5" s="92"/>
    </row>
    <row r="6">
      <c r="A6" s="92"/>
      <c r="B6" s="92"/>
      <c r="C6" s="89" t="s">
        <v>4562</v>
      </c>
      <c r="D6" s="92"/>
      <c r="E6" s="92"/>
      <c r="F6" s="92"/>
      <c r="G6" s="92"/>
      <c r="H6" s="92"/>
    </row>
    <row r="7">
      <c r="A7" s="92"/>
      <c r="B7" s="92"/>
      <c r="C7" s="89" t="s">
        <v>4563</v>
      </c>
      <c r="D7" s="92"/>
      <c r="E7" s="92"/>
      <c r="F7" s="92"/>
      <c r="G7" s="92"/>
      <c r="H7" s="92"/>
    </row>
    <row r="8">
      <c r="A8" s="92"/>
      <c r="B8" s="92"/>
      <c r="C8" s="89" t="s">
        <v>4564</v>
      </c>
      <c r="D8" s="92"/>
      <c r="E8" s="92"/>
      <c r="F8" s="92"/>
      <c r="G8" s="92"/>
      <c r="H8" s="92"/>
    </row>
    <row r="9">
      <c r="A9" s="92"/>
      <c r="B9" s="92"/>
      <c r="C9" s="89" t="s">
        <v>4565</v>
      </c>
      <c r="D9" s="92"/>
      <c r="E9" s="92"/>
      <c r="F9" s="92"/>
      <c r="G9" s="92"/>
      <c r="H9" s="92"/>
      <c r="J9" s="18" t="s">
        <v>4566</v>
      </c>
    </row>
    <row r="10">
      <c r="A10" s="89"/>
      <c r="B10" s="89"/>
      <c r="C10" s="89"/>
      <c r="D10" s="89"/>
      <c r="E10" s="89"/>
      <c r="F10" s="92"/>
      <c r="G10" s="89"/>
      <c r="H10" s="92"/>
      <c r="J10" s="18" t="s">
        <v>4567</v>
      </c>
    </row>
    <row r="11">
      <c r="A11" s="92"/>
      <c r="B11" s="92"/>
      <c r="C11" s="92"/>
      <c r="D11" s="92"/>
      <c r="E11" s="92"/>
      <c r="F11" s="92"/>
      <c r="G11" s="92"/>
      <c r="H11" s="92"/>
      <c r="J11" s="18" t="s">
        <v>4568</v>
      </c>
    </row>
    <row r="12">
      <c r="A12" s="92"/>
      <c r="B12" s="92"/>
      <c r="C12" s="92"/>
      <c r="D12" s="92"/>
      <c r="E12" s="92"/>
      <c r="F12" s="92"/>
      <c r="G12" s="92"/>
      <c r="H12" s="92"/>
      <c r="J12" s="18" t="s">
        <v>4569</v>
      </c>
    </row>
    <row r="13">
      <c r="A13" s="92"/>
      <c r="B13" s="92"/>
      <c r="C13" s="92"/>
      <c r="D13" s="92"/>
      <c r="E13" s="92"/>
      <c r="F13" s="92"/>
      <c r="G13" s="92"/>
      <c r="H13" s="92"/>
      <c r="J13" s="18" t="s">
        <v>4570</v>
      </c>
    </row>
    <row r="14">
      <c r="A14" s="92"/>
      <c r="B14" s="92"/>
      <c r="C14" s="92"/>
      <c r="D14" s="92"/>
      <c r="E14" s="92"/>
      <c r="F14" s="92"/>
      <c r="G14" s="92"/>
      <c r="H14" s="92"/>
      <c r="J14" s="18" t="s">
        <v>4571</v>
      </c>
    </row>
  </sheetData>
  <drawing r:id="rId1"/>
</worksheet>
</file>