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465" windowWidth="20730" windowHeight="11760" activeTab="2"/>
  </bookViews>
  <sheets>
    <sheet name="Sheet1" sheetId="1" r:id="rId1"/>
    <sheet name="Sheet2" sheetId="2" r:id="rId2"/>
    <sheet name="Sheet3" sheetId="3" r:id="rId3"/>
  </sheets>
  <calcPr calcId="162913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3"/>
  <c r="N14"/>
  <c r="N12"/>
  <c r="N10"/>
  <c r="N9"/>
  <c r="M8" i="2"/>
  <c r="M6"/>
  <c r="M5"/>
  <c r="K46" i="1"/>
  <c r="K51"/>
  <c r="K50"/>
  <c r="G6"/>
  <c r="K31" l="1"/>
  <c r="L32" s="1"/>
  <c r="L33" s="1"/>
  <c r="K30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5"/>
  <c r="F6" l="1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5"/>
</calcChain>
</file>

<file path=xl/sharedStrings.xml><?xml version="1.0" encoding="utf-8"?>
<sst xmlns="http://schemas.openxmlformats.org/spreadsheetml/2006/main" count="76" uniqueCount="73">
  <si>
    <t>Sr.No.</t>
  </si>
  <si>
    <t>Reliance Industries Ltd.</t>
  </si>
  <si>
    <t>NIFTY Index</t>
  </si>
  <si>
    <t>Date</t>
  </si>
  <si>
    <t>PX_LAST</t>
  </si>
  <si>
    <t>Bmonth_Close</t>
  </si>
  <si>
    <t>RIL</t>
  </si>
  <si>
    <t>NIFTY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</si>
  <si>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</si>
  <si>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</si>
  <si>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</si>
  <si>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</si>
  <si>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</si>
  <si>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</si>
  <si>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</si>
  <si>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</si>
  <si>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</si>
  <si>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</si>
  <si>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</si>
  <si>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</si>
  <si>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</si>
  <si>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</si>
  <si>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</si>
  <si>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</si>
  <si>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</si>
  <si>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</si>
  <si>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</si>
  <si>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</si>
  <si>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</si>
  <si>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</si>
  <si>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</si>
  <si>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</si>
  <si>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</si>
  <si>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Unlevered beta</t>
  </si>
  <si>
    <t>Unlevered beta after sale</t>
  </si>
  <si>
    <t>New levered beta</t>
  </si>
  <si>
    <t>Market Model</t>
  </si>
  <si>
    <t>Return of a stock=a+b*Return (Market)</t>
  </si>
  <si>
    <t>Cost of equity=Rf+Beta*MRP</t>
  </si>
  <si>
    <t>Equity beta=Levered beta</t>
  </si>
  <si>
    <t>This beta is a function of two leverage:</t>
  </si>
  <si>
    <t xml:space="preserve">1. Business Risk </t>
  </si>
  <si>
    <t>2. Financial Risk</t>
  </si>
  <si>
    <t>A measure of financial risk is of course Debt/Equity</t>
  </si>
  <si>
    <t>A more popiular measure today is Debt/EBITDA</t>
  </si>
  <si>
    <t>Take a Company's balance sheet which has both debt and equity</t>
  </si>
  <si>
    <t>Beta (Asset)=Beta(Debt)*Debt weight+Beta (equity)*equity weight</t>
  </si>
  <si>
    <t>Assume Beta (D</t>
  </si>
  <si>
    <t>Equity Beta</t>
  </si>
  <si>
    <t>Present Debt weight</t>
  </si>
  <si>
    <t>Present</t>
  </si>
  <si>
    <t>Proposed</t>
  </si>
  <si>
    <t>Two steps:</t>
  </si>
  <si>
    <t>1. Unlever</t>
  </si>
  <si>
    <t>2. Re-lever</t>
  </si>
  <si>
    <t>Equity beta/(1+D/E)</t>
  </si>
  <si>
    <t>Beta(Unlevered)*(1+D/E)</t>
  </si>
  <si>
    <t>Cost of debt</t>
  </si>
  <si>
    <t>Cost of Pref. Shares</t>
  </si>
  <si>
    <t>Cost of equity</t>
  </si>
  <si>
    <t>WACC</t>
  </si>
  <si>
    <t>Unlever</t>
  </si>
  <si>
    <t>Relever</t>
  </si>
  <si>
    <t>After-tax cost of debt</t>
  </si>
  <si>
    <t>Trade off theory</t>
  </si>
  <si>
    <t>Value of a firm= Value of Asset+ PV(Tax shield on debt)-PV(distress cost)</t>
  </si>
  <si>
    <t>Pecking Order</t>
  </si>
  <si>
    <t>Debt</t>
  </si>
  <si>
    <t>Pref shares</t>
  </si>
  <si>
    <t>Internal equity</t>
  </si>
  <si>
    <t>External equity</t>
  </si>
  <si>
    <t>Excess cash available with the company</t>
  </si>
  <si>
    <t>Market Timing</t>
  </si>
</sst>
</file>

<file path=xl/styles.xml><?xml version="1.0" encoding="utf-8"?>
<styleSheet xmlns="http://schemas.openxmlformats.org/spreadsheetml/2006/main">
  <numFmts count="1">
    <numFmt numFmtId="164" formatCode="0.0%"/>
  </numFmts>
  <fonts count="5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9" fontId="3" fillId="0" borderId="0" applyFon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/>
    <xf numFmtId="2" fontId="0" fillId="0" borderId="0" xfId="0" applyNumberFormat="1"/>
    <xf numFmtId="0" fontId="2" fillId="0" borderId="0" xfId="1"/>
    <xf numFmtId="14" fontId="2" fillId="0" borderId="0" xfId="1" applyNumberFormat="1"/>
    <xf numFmtId="0" fontId="1" fillId="2" borderId="2" xfId="0" applyFont="1" applyFill="1" applyBorder="1"/>
    <xf numFmtId="9" fontId="0" fillId="0" borderId="0" xfId="2" applyFont="1"/>
    <xf numFmtId="0" fontId="0" fillId="0" borderId="0" xfId="0" applyFill="1" applyBorder="1" applyAlignment="1"/>
    <xf numFmtId="0" fontId="0" fillId="0" borderId="3" xfId="0" applyFill="1" applyBorder="1" applyAlignment="1"/>
    <xf numFmtId="0" fontId="4" fillId="0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Continuous"/>
    </xf>
    <xf numFmtId="10" fontId="0" fillId="0" borderId="0" xfId="2" applyNumberFormat="1" applyFont="1"/>
    <xf numFmtId="0" fontId="1" fillId="2" borderId="0" xfId="0" applyFont="1" applyFill="1" applyBorder="1"/>
    <xf numFmtId="9" fontId="0" fillId="0" borderId="0" xfId="0" applyNumberFormat="1"/>
    <xf numFmtId="164" fontId="0" fillId="0" borderId="0" xfId="2" applyNumberFormat="1" applyFont="1"/>
    <xf numFmtId="10" fontId="0" fillId="0" borderId="0" xfId="0" applyNumberFormat="1"/>
  </cellXfs>
  <cellStyles count="3">
    <cellStyle name="Normal" xfId="0" builtinId="0"/>
    <cellStyle name="Normal 2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800100</xdr:colOff>
      <xdr:row>23</xdr:row>
      <xdr:rowOff>149225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4B755E5B-C1B6-5F45-B887-A21DD80CA7B9}"/>
            </a:ext>
          </a:extLst>
        </xdr:cNvPr>
        <xdr:cNvSpPr>
          <a:spLocks noGrp="1" noChangeArrowheads="1"/>
        </xdr:cNvSpPr>
      </xdr:nvSpPr>
      <xdr:spPr bwMode="auto">
        <a:xfrm>
          <a:off x="0" y="0"/>
          <a:ext cx="8229600" cy="45307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lvl1pPr marL="342900" indent="-342900" algn="l" rtl="0" eaLnBrk="0" fontAlgn="base" hangingPunct="0">
            <a:spcBef>
              <a:spcPct val="20000"/>
            </a:spcBef>
            <a:spcAft>
              <a:spcPct val="0"/>
            </a:spcAft>
            <a:buClr>
              <a:schemeClr val="accent1"/>
            </a:buClr>
            <a:buSzPct val="65000"/>
            <a:buFont typeface="Wingdings" pitchFamily="2" charset="2"/>
            <a:buChar char="n"/>
            <a:defRPr sz="3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69925" indent="-325438" algn="l" rtl="0" eaLnBrk="0" fontAlgn="base" hangingPunct="0">
            <a:spcBef>
              <a:spcPct val="20000"/>
            </a:spcBef>
            <a:spcAft>
              <a:spcPct val="0"/>
            </a:spcAft>
            <a:buClr>
              <a:schemeClr val="accent2"/>
            </a:buClr>
            <a:buSzPct val="60000"/>
            <a:buFont typeface="Wingdings" pitchFamily="2" charset="2"/>
            <a:buChar char="q"/>
            <a:defRPr sz="2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022350" indent="-350838" algn="l" rtl="0" eaLnBrk="0" fontAlgn="base" hangingPunct="0">
            <a:spcBef>
              <a:spcPct val="20000"/>
            </a:spcBef>
            <a:spcAft>
              <a:spcPct val="0"/>
            </a:spcAft>
            <a:buClr>
              <a:schemeClr val="accent1"/>
            </a:buClr>
            <a:buSzPct val="65000"/>
            <a:buFont typeface="Wingdings" pitchFamily="2" charset="2"/>
            <a:buChar char="n"/>
            <a:defRPr sz="22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39850" indent="-315913" algn="l" rtl="0" eaLnBrk="0" fontAlgn="base" hangingPunct="0">
            <a:spcBef>
              <a:spcPct val="20000"/>
            </a:spcBef>
            <a:spcAft>
              <a:spcPct val="0"/>
            </a:spcAft>
            <a:buClr>
              <a:schemeClr val="accent2"/>
            </a:buClr>
            <a:buSzPct val="70000"/>
            <a:buFont typeface="Wingdings" pitchFamily="2" charset="2"/>
            <a:buChar char="q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681163" indent="-339725" algn="l" rtl="0" eaLnBrk="0" fontAlgn="base" hangingPunct="0">
            <a:spcBef>
              <a:spcPct val="20000"/>
            </a:spcBef>
            <a:spcAft>
              <a:spcPct val="0"/>
            </a:spcAft>
            <a:buClr>
              <a:schemeClr val="accent1"/>
            </a:buClr>
            <a:buSzPct val="75000"/>
            <a:buFont typeface="Wingdings" pitchFamily="2" charset="2"/>
            <a:buChar char="§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5146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9718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4290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8862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>
            <a:lnSpc>
              <a:spcPct val="80000"/>
            </a:lnSpc>
          </a:pPr>
          <a:r>
            <a:rPr lang="en-US" altLang="en-US" sz="1900"/>
            <a:t>Longstreet Communications Inc. has the following capital structure, which it considers to be optimal:</a:t>
          </a:r>
        </a:p>
        <a:p>
          <a:pPr lvl="1" eaLnBrk="1" hangingPunct="1">
            <a:lnSpc>
              <a:spcPct val="80000"/>
            </a:lnSpc>
          </a:pPr>
          <a:r>
            <a:rPr lang="en-US" altLang="en-US" sz="1700"/>
            <a:t>Debt                  25%</a:t>
          </a:r>
        </a:p>
        <a:p>
          <a:pPr lvl="1" eaLnBrk="1" hangingPunct="1">
            <a:lnSpc>
              <a:spcPct val="80000"/>
            </a:lnSpc>
          </a:pPr>
          <a:r>
            <a:rPr lang="en-US" altLang="en-US" sz="1700"/>
            <a:t>Preferred Stock 15%</a:t>
          </a:r>
        </a:p>
        <a:p>
          <a:pPr lvl="1" eaLnBrk="1" hangingPunct="1">
            <a:lnSpc>
              <a:spcPct val="80000"/>
            </a:lnSpc>
          </a:pPr>
          <a:r>
            <a:rPr lang="en-US" altLang="en-US" sz="1700"/>
            <a:t>Equity                 60%</a:t>
          </a:r>
        </a:p>
        <a:p>
          <a:pPr eaLnBrk="1" hangingPunct="1">
            <a:lnSpc>
              <a:spcPct val="80000"/>
            </a:lnSpc>
          </a:pPr>
          <a:r>
            <a:rPr lang="en-US" altLang="en-US" sz="1900"/>
            <a:t>LCI’s tax rate is 40% and investors expect earnings and dividend to grow at a constant rate of 9% in the future. LCI paid a dividend of Rs. 3.60 per share last year, and its stock currently sells at a price of Rs.60 per share. Treasury bonds yield 11%, expected equity risk premium is 3%, and LCI’s beta is 1.51</a:t>
          </a:r>
        </a:p>
        <a:p>
          <a:pPr eaLnBrk="1" hangingPunct="1">
            <a:lnSpc>
              <a:spcPct val="80000"/>
            </a:lnSpc>
          </a:pPr>
          <a:r>
            <a:rPr lang="en-US" altLang="en-US" sz="1900"/>
            <a:t>New 11%preferred stock could be sold  at Rs. 100 with 5% floatation cost.</a:t>
          </a:r>
        </a:p>
        <a:p>
          <a:pPr eaLnBrk="1" hangingPunct="1">
            <a:lnSpc>
              <a:spcPct val="80000"/>
            </a:lnSpc>
          </a:pPr>
          <a:r>
            <a:rPr lang="en-US" altLang="en-US" sz="1900"/>
            <a:t>Debt could be sold at an interest rate of 12%.</a:t>
          </a:r>
        </a:p>
        <a:p>
          <a:pPr eaLnBrk="1" hangingPunct="1">
            <a:lnSpc>
              <a:spcPct val="80000"/>
            </a:lnSpc>
          </a:pPr>
          <a:r>
            <a:rPr lang="en-US" altLang="en-US" sz="1900"/>
            <a:t>What’s the WACC of LCI?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800100</xdr:colOff>
      <xdr:row>23</xdr:row>
      <xdr:rowOff>149225</xdr:rowOff>
    </xdr:to>
    <xdr:sp macro="" textlink="">
      <xdr:nvSpPr>
        <xdr:cNvPr id="2" name="Content Placeholder 2">
          <a:extLst>
            <a:ext uri="{FF2B5EF4-FFF2-40B4-BE49-F238E27FC236}">
              <a16:creationId xmlns:a16="http://schemas.microsoft.com/office/drawing/2014/main" xmlns="" id="{83C4952C-B59D-9542-83E3-0ACF9AC63C27}"/>
            </a:ext>
          </a:extLst>
        </xdr:cNvPr>
        <xdr:cNvSpPr>
          <a:spLocks noGrp="1" noChangeArrowheads="1"/>
        </xdr:cNvSpPr>
      </xdr:nvSpPr>
      <xdr:spPr bwMode="auto">
        <a:xfrm>
          <a:off x="0" y="0"/>
          <a:ext cx="8229600" cy="45307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lvl1pPr marL="342900" indent="-342900" algn="l" rtl="0" eaLnBrk="0" fontAlgn="base" hangingPunct="0">
            <a:spcBef>
              <a:spcPct val="20000"/>
            </a:spcBef>
            <a:spcAft>
              <a:spcPct val="0"/>
            </a:spcAft>
            <a:buClr>
              <a:schemeClr val="accent1"/>
            </a:buClr>
            <a:buSzPct val="65000"/>
            <a:buFont typeface="Wingdings" pitchFamily="2" charset="2"/>
            <a:buChar char="n"/>
            <a:defRPr sz="3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69925" indent="-325438" algn="l" rtl="0" eaLnBrk="0" fontAlgn="base" hangingPunct="0">
            <a:spcBef>
              <a:spcPct val="20000"/>
            </a:spcBef>
            <a:spcAft>
              <a:spcPct val="0"/>
            </a:spcAft>
            <a:buClr>
              <a:schemeClr val="accent2"/>
            </a:buClr>
            <a:buSzPct val="60000"/>
            <a:buFont typeface="Wingdings" pitchFamily="2" charset="2"/>
            <a:buChar char="q"/>
            <a:defRPr sz="2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022350" indent="-350838" algn="l" rtl="0" eaLnBrk="0" fontAlgn="base" hangingPunct="0">
            <a:spcBef>
              <a:spcPct val="20000"/>
            </a:spcBef>
            <a:spcAft>
              <a:spcPct val="0"/>
            </a:spcAft>
            <a:buClr>
              <a:schemeClr val="accent1"/>
            </a:buClr>
            <a:buSzPct val="65000"/>
            <a:buFont typeface="Wingdings" pitchFamily="2" charset="2"/>
            <a:buChar char="n"/>
            <a:defRPr sz="22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39850" indent="-315913" algn="l" rtl="0" eaLnBrk="0" fontAlgn="base" hangingPunct="0">
            <a:spcBef>
              <a:spcPct val="20000"/>
            </a:spcBef>
            <a:spcAft>
              <a:spcPct val="0"/>
            </a:spcAft>
            <a:buClr>
              <a:schemeClr val="accent2"/>
            </a:buClr>
            <a:buSzPct val="70000"/>
            <a:buFont typeface="Wingdings" pitchFamily="2" charset="2"/>
            <a:buChar char="q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681163" indent="-339725" algn="l" rtl="0" eaLnBrk="0" fontAlgn="base" hangingPunct="0">
            <a:spcBef>
              <a:spcPct val="20000"/>
            </a:spcBef>
            <a:spcAft>
              <a:spcPct val="0"/>
            </a:spcAft>
            <a:buClr>
              <a:schemeClr val="accent1"/>
            </a:buClr>
            <a:buSzPct val="75000"/>
            <a:buFont typeface="Wingdings" pitchFamily="2" charset="2"/>
            <a:buChar char="§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5146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9718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4290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8862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en-US" sz="2400"/>
            <a:t>A company has the following capital structure (market value basis):</a:t>
          </a:r>
        </a:p>
        <a:p>
          <a:pPr lvl="1"/>
          <a:r>
            <a:rPr lang="en-US" altLang="en-US" sz="2400"/>
            <a:t>12% Debt  Rs. 500 million</a:t>
          </a:r>
        </a:p>
        <a:p>
          <a:pPr lvl="1"/>
          <a:r>
            <a:rPr lang="en-US" altLang="en-US" sz="2400"/>
            <a:t>Equity        Rs. 1200 million</a:t>
          </a:r>
        </a:p>
        <a:p>
          <a:r>
            <a:rPr lang="en-US" altLang="en-US" sz="2400"/>
            <a:t>Levered beta of equity 1.10. Risk free rate 8%. Risk premium 8%. Find out WACC</a:t>
          </a:r>
        </a:p>
        <a:p>
          <a:r>
            <a:rPr lang="en-US" altLang="en-US" sz="2400"/>
            <a:t>The company proposes to change the capital structure to 1:1 (Debt: Equity).</a:t>
          </a:r>
        </a:p>
        <a:p>
          <a:r>
            <a:rPr lang="en-US" altLang="en-US" sz="2400"/>
            <a:t>Corporate tax rate 30%. Will there be any change in WACC (assume that the company can raise additional debt at the same rate)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R63"/>
  <sheetViews>
    <sheetView topLeftCell="A37" zoomScale="140" zoomScaleNormal="140" workbookViewId="0">
      <selection activeCell="K46" sqref="K46:K47"/>
    </sheetView>
  </sheetViews>
  <sheetFormatPr defaultColWidth="8.85546875" defaultRowHeight="15"/>
  <cols>
    <col min="1" max="1" width="6.42578125" bestFit="1" customWidth="1"/>
    <col min="2" max="3" width="11.140625" bestFit="1" customWidth="1"/>
    <col min="4" max="4" width="22" bestFit="1" customWidth="1"/>
    <col min="10" max="10" width="15.42578125" customWidth="1"/>
  </cols>
  <sheetData>
    <row r="2" spans="1:11">
      <c r="A2" s="1"/>
      <c r="B2" s="1"/>
      <c r="C2" s="1" t="s">
        <v>2</v>
      </c>
      <c r="D2" s="1" t="s">
        <v>1</v>
      </c>
    </row>
    <row r="3" spans="1:11">
      <c r="A3" s="1" t="s">
        <v>0</v>
      </c>
      <c r="B3" s="1" t="s">
        <v>3</v>
      </c>
      <c r="C3" s="1" t="s">
        <v>4</v>
      </c>
      <c r="D3" s="1" t="s">
        <v>5</v>
      </c>
      <c r="E3" s="5" t="s">
        <v>6</v>
      </c>
      <c r="F3" s="5" t="s">
        <v>7</v>
      </c>
      <c r="I3" s="12" t="s">
        <v>36</v>
      </c>
    </row>
    <row r="4" spans="1:11">
      <c r="A4">
        <v>1</v>
      </c>
      <c r="B4" s="4">
        <v>40939</v>
      </c>
      <c r="C4" s="3">
        <v>5199.25</v>
      </c>
      <c r="D4" s="2">
        <v>815.45</v>
      </c>
      <c r="I4" t="s">
        <v>37</v>
      </c>
    </row>
    <row r="5" spans="1:11">
      <c r="A5">
        <v>2</v>
      </c>
      <c r="B5" s="4">
        <v>40968</v>
      </c>
      <c r="C5" s="3">
        <v>5385.2</v>
      </c>
      <c r="D5" s="2">
        <v>818.65</v>
      </c>
      <c r="E5" s="6">
        <f>(D5-D4)/D4</f>
        <v>3.9242136243790929E-3</v>
      </c>
      <c r="F5" s="6">
        <f>(C5-C4)/C4</f>
        <v>3.5764773765446907E-2</v>
      </c>
      <c r="I5" t="s">
        <v>38</v>
      </c>
    </row>
    <row r="6" spans="1:11">
      <c r="A6">
        <v>3</v>
      </c>
      <c r="B6" s="4">
        <v>40999</v>
      </c>
      <c r="C6" s="3">
        <v>5295.55</v>
      </c>
      <c r="D6" s="2">
        <v>748.25</v>
      </c>
      <c r="E6" s="6">
        <f t="shared" ref="E6:E63" si="0">(D6-D5)/D5</f>
        <v>-8.5995236059366001E-2</v>
      </c>
      <c r="F6" s="6">
        <f t="shared" ref="F6:F63" si="1">(C6-C5)/C5</f>
        <v>-1.6647478273787351E-2</v>
      </c>
      <c r="G6">
        <f>SLOPE(E5:E63,F5:F63)</f>
        <v>0.82464150627235244</v>
      </c>
    </row>
    <row r="7" spans="1:11">
      <c r="A7">
        <v>4</v>
      </c>
      <c r="B7" s="4">
        <v>41029</v>
      </c>
      <c r="C7" s="3">
        <v>5248.15</v>
      </c>
      <c r="D7" s="2">
        <v>745.2</v>
      </c>
      <c r="E7" s="6">
        <f t="shared" si="0"/>
        <v>-4.0761777480787902E-3</v>
      </c>
      <c r="F7" s="6">
        <f t="shared" si="1"/>
        <v>-8.9509116144688549E-3</v>
      </c>
      <c r="J7" t="s">
        <v>8</v>
      </c>
    </row>
    <row r="8" spans="1:11" ht="15.75" thickBot="1">
      <c r="A8">
        <v>5</v>
      </c>
      <c r="B8" s="4">
        <v>41060</v>
      </c>
      <c r="C8" s="3">
        <v>4924.25</v>
      </c>
      <c r="D8" s="2">
        <v>706</v>
      </c>
      <c r="E8" s="6">
        <f t="shared" si="0"/>
        <v>-5.2603327965646866E-2</v>
      </c>
      <c r="F8" s="6">
        <f t="shared" si="1"/>
        <v>-6.1716985985537695E-2</v>
      </c>
    </row>
    <row r="9" spans="1:11">
      <c r="A9">
        <v>6</v>
      </c>
      <c r="B9" s="4">
        <v>41090</v>
      </c>
      <c r="C9" s="3">
        <v>5278.9</v>
      </c>
      <c r="D9" s="2">
        <v>737.45</v>
      </c>
      <c r="E9" s="6">
        <f t="shared" si="0"/>
        <v>4.4546742209631791E-2</v>
      </c>
      <c r="F9" s="6">
        <f t="shared" si="1"/>
        <v>7.2021119967507666E-2</v>
      </c>
      <c r="J9" s="10" t="s">
        <v>9</v>
      </c>
      <c r="K9" s="10"/>
    </row>
    <row r="10" spans="1:11">
      <c r="A10">
        <v>7</v>
      </c>
      <c r="B10" s="4">
        <v>41121</v>
      </c>
      <c r="C10" s="3">
        <v>5229</v>
      </c>
      <c r="D10" s="2">
        <v>742.85</v>
      </c>
      <c r="E10" s="6">
        <f t="shared" si="0"/>
        <v>7.3225303410400389E-3</v>
      </c>
      <c r="F10" s="6">
        <f t="shared" si="1"/>
        <v>-9.4527268938603953E-3</v>
      </c>
      <c r="J10" s="7" t="s">
        <v>10</v>
      </c>
      <c r="K10" s="7">
        <v>0.55040343158307603</v>
      </c>
    </row>
    <row r="11" spans="1:11">
      <c r="A11">
        <v>8</v>
      </c>
      <c r="B11" s="4">
        <v>41152</v>
      </c>
      <c r="C11" s="3">
        <v>5258.5</v>
      </c>
      <c r="D11" s="2">
        <v>771.95</v>
      </c>
      <c r="E11" s="6">
        <f t="shared" si="0"/>
        <v>3.9173453590899944E-2</v>
      </c>
      <c r="F11" s="6">
        <f t="shared" si="1"/>
        <v>5.6416140753490149E-3</v>
      </c>
      <c r="J11" s="7" t="s">
        <v>11</v>
      </c>
      <c r="K11" s="7">
        <v>0.3029439374984258</v>
      </c>
    </row>
    <row r="12" spans="1:11">
      <c r="A12">
        <v>9</v>
      </c>
      <c r="B12" s="4">
        <v>41182</v>
      </c>
      <c r="C12" s="3">
        <v>5703.3</v>
      </c>
      <c r="D12" s="2">
        <v>836.7</v>
      </c>
      <c r="E12" s="6">
        <f t="shared" si="0"/>
        <v>8.3878489539477935E-2</v>
      </c>
      <c r="F12" s="6">
        <f t="shared" si="1"/>
        <v>8.4586859370542972E-2</v>
      </c>
      <c r="J12" s="7" t="s">
        <v>12</v>
      </c>
      <c r="K12" s="7">
        <v>0.290714883770328</v>
      </c>
    </row>
    <row r="13" spans="1:11">
      <c r="A13">
        <v>10</v>
      </c>
      <c r="B13" s="4">
        <v>41213</v>
      </c>
      <c r="C13" s="3">
        <v>5619.7</v>
      </c>
      <c r="D13" s="2">
        <v>805.25</v>
      </c>
      <c r="E13" s="6">
        <f t="shared" si="0"/>
        <v>-3.7588143898649506E-2</v>
      </c>
      <c r="F13" s="6">
        <f t="shared" si="1"/>
        <v>-1.4658180351726257E-2</v>
      </c>
      <c r="J13" s="7" t="s">
        <v>13</v>
      </c>
      <c r="K13" s="7">
        <v>5.2355539959053107E-2</v>
      </c>
    </row>
    <row r="14" spans="1:11" ht="15.75" thickBot="1">
      <c r="A14">
        <v>11</v>
      </c>
      <c r="B14" s="4">
        <v>41243</v>
      </c>
      <c r="C14" s="3">
        <v>5879.85</v>
      </c>
      <c r="D14" s="2">
        <v>793.9</v>
      </c>
      <c r="E14" s="6">
        <f t="shared" si="0"/>
        <v>-1.4095001552312974E-2</v>
      </c>
      <c r="F14" s="6">
        <f t="shared" si="1"/>
        <v>4.6292506717440535E-2</v>
      </c>
      <c r="J14" s="8" t="s">
        <v>14</v>
      </c>
      <c r="K14" s="8">
        <v>59</v>
      </c>
    </row>
    <row r="15" spans="1:11">
      <c r="A15">
        <v>12</v>
      </c>
      <c r="B15" s="4">
        <v>41274</v>
      </c>
      <c r="C15" s="3">
        <v>5905.1</v>
      </c>
      <c r="D15" s="2">
        <v>839.1</v>
      </c>
      <c r="E15" s="6">
        <f t="shared" si="0"/>
        <v>5.6934122685476818E-2</v>
      </c>
      <c r="F15" s="6">
        <f t="shared" si="1"/>
        <v>4.2943272362390194E-3</v>
      </c>
    </row>
    <row r="16" spans="1:11" ht="15.75" thickBot="1">
      <c r="A16">
        <v>13</v>
      </c>
      <c r="B16" s="4">
        <v>41305</v>
      </c>
      <c r="C16" s="3">
        <v>6034.75</v>
      </c>
      <c r="D16" s="2">
        <v>886.55</v>
      </c>
      <c r="E16" s="6">
        <f t="shared" si="0"/>
        <v>5.6548683112858933E-2</v>
      </c>
      <c r="F16" s="6">
        <f t="shared" si="1"/>
        <v>2.1955597703679806E-2</v>
      </c>
      <c r="J16" t="s">
        <v>15</v>
      </c>
    </row>
    <row r="17" spans="1:18">
      <c r="A17">
        <v>14</v>
      </c>
      <c r="B17" s="4">
        <v>41333</v>
      </c>
      <c r="C17" s="3">
        <v>5693.05</v>
      </c>
      <c r="D17" s="2">
        <v>814.65</v>
      </c>
      <c r="E17" s="6">
        <f t="shared" si="0"/>
        <v>-8.1100896734532718E-2</v>
      </c>
      <c r="F17" s="6">
        <f t="shared" si="1"/>
        <v>-5.6622063880028141E-2</v>
      </c>
      <c r="J17" s="9"/>
      <c r="K17" s="9" t="s">
        <v>20</v>
      </c>
      <c r="L17" s="9" t="s">
        <v>21</v>
      </c>
      <c r="M17" s="9" t="s">
        <v>22</v>
      </c>
      <c r="N17" s="9" t="s">
        <v>23</v>
      </c>
      <c r="O17" s="9" t="s">
        <v>24</v>
      </c>
    </row>
    <row r="18" spans="1:18">
      <c r="A18">
        <v>15</v>
      </c>
      <c r="B18" s="4">
        <v>41364</v>
      </c>
      <c r="C18" s="3">
        <v>5682.55</v>
      </c>
      <c r="D18" s="2">
        <v>773.7</v>
      </c>
      <c r="E18" s="6">
        <f t="shared" si="0"/>
        <v>-5.0266985822132119E-2</v>
      </c>
      <c r="F18" s="6">
        <f t="shared" si="1"/>
        <v>-1.8443540808529698E-3</v>
      </c>
      <c r="J18" s="7" t="s">
        <v>16</v>
      </c>
      <c r="K18" s="7">
        <v>1</v>
      </c>
      <c r="L18" s="7">
        <v>6.7903896933548702E-2</v>
      </c>
      <c r="M18" s="7">
        <v>6.7903896933548702E-2</v>
      </c>
      <c r="N18" s="7">
        <v>24.772475796910918</v>
      </c>
      <c r="O18" s="7">
        <v>6.2945811515156683E-6</v>
      </c>
    </row>
    <row r="19" spans="1:18">
      <c r="A19">
        <v>16</v>
      </c>
      <c r="B19" s="4">
        <v>41394</v>
      </c>
      <c r="C19" s="3">
        <v>5930.2</v>
      </c>
      <c r="D19" s="2">
        <v>788.15</v>
      </c>
      <c r="E19" s="6">
        <f t="shared" si="0"/>
        <v>1.8676489595450343E-2</v>
      </c>
      <c r="F19" s="6">
        <f t="shared" si="1"/>
        <v>4.3580786794660785E-2</v>
      </c>
      <c r="J19" s="7" t="s">
        <v>17</v>
      </c>
      <c r="K19" s="7">
        <v>57</v>
      </c>
      <c r="L19" s="7">
        <v>0.15624284617102838</v>
      </c>
      <c r="M19" s="7">
        <v>2.7411025644040066E-3</v>
      </c>
      <c r="N19" s="7"/>
      <c r="O19" s="7"/>
    </row>
    <row r="20" spans="1:18" ht="15.75" thickBot="1">
      <c r="A20">
        <v>17</v>
      </c>
      <c r="B20" s="4">
        <v>41425</v>
      </c>
      <c r="C20" s="3">
        <v>5985.95</v>
      </c>
      <c r="D20" s="2">
        <v>805.6</v>
      </c>
      <c r="E20" s="6">
        <f t="shared" si="0"/>
        <v>2.2140455497050113E-2</v>
      </c>
      <c r="F20" s="6">
        <f t="shared" si="1"/>
        <v>9.4010320056659141E-3</v>
      </c>
      <c r="J20" s="8" t="s">
        <v>18</v>
      </c>
      <c r="K20" s="8">
        <v>58</v>
      </c>
      <c r="L20" s="8">
        <v>0.22414674310457708</v>
      </c>
      <c r="M20" s="8"/>
      <c r="N20" s="8"/>
      <c r="O20" s="8"/>
    </row>
    <row r="21" spans="1:18" ht="15.75" thickBot="1">
      <c r="A21">
        <v>18</v>
      </c>
      <c r="B21" s="4">
        <v>41455</v>
      </c>
      <c r="C21" s="3">
        <v>5842.2</v>
      </c>
      <c r="D21" s="2">
        <v>861.85</v>
      </c>
      <c r="E21" s="6">
        <f t="shared" si="0"/>
        <v>6.9823733862959286E-2</v>
      </c>
      <c r="F21" s="6">
        <f t="shared" si="1"/>
        <v>-2.4014567445434728E-2</v>
      </c>
    </row>
    <row r="22" spans="1:18">
      <c r="A22">
        <v>19</v>
      </c>
      <c r="B22" s="4">
        <v>41486</v>
      </c>
      <c r="C22" s="3">
        <v>5742</v>
      </c>
      <c r="D22" s="2">
        <v>871.6</v>
      </c>
      <c r="E22" s="6">
        <f t="shared" si="0"/>
        <v>1.1312873469861345E-2</v>
      </c>
      <c r="F22" s="6">
        <f t="shared" si="1"/>
        <v>-1.7151073225839551E-2</v>
      </c>
      <c r="J22" s="9"/>
      <c r="K22" s="9" t="s">
        <v>25</v>
      </c>
      <c r="L22" s="9" t="s">
        <v>13</v>
      </c>
      <c r="M22" s="9" t="s">
        <v>26</v>
      </c>
      <c r="N22" s="9" t="s">
        <v>27</v>
      </c>
      <c r="O22" s="9" t="s">
        <v>28</v>
      </c>
      <c r="P22" s="9" t="s">
        <v>29</v>
      </c>
      <c r="Q22" s="9" t="s">
        <v>30</v>
      </c>
      <c r="R22" s="9" t="s">
        <v>31</v>
      </c>
    </row>
    <row r="23" spans="1:18">
      <c r="A23">
        <v>20</v>
      </c>
      <c r="B23" s="4">
        <v>41517</v>
      </c>
      <c r="C23" s="3">
        <v>5471.8</v>
      </c>
      <c r="D23" s="2">
        <v>851.55</v>
      </c>
      <c r="E23" s="6">
        <f t="shared" si="0"/>
        <v>-2.3003671408903244E-2</v>
      </c>
      <c r="F23" s="6">
        <f t="shared" si="1"/>
        <v>-4.7056774642981511E-2</v>
      </c>
      <c r="J23" s="7" t="s">
        <v>19</v>
      </c>
      <c r="K23" s="7">
        <v>-3.8907263294629766E-4</v>
      </c>
      <c r="L23" s="7">
        <v>6.9513772516314977E-3</v>
      </c>
      <c r="M23" s="7">
        <v>-5.5970582355457946E-2</v>
      </c>
      <c r="N23" s="7">
        <v>0.95556097659333306</v>
      </c>
      <c r="O23" s="7">
        <v>-1.430896547383962E-2</v>
      </c>
      <c r="P23" s="7">
        <v>1.3530820207947023E-2</v>
      </c>
      <c r="Q23" s="7">
        <v>-1.430896547383962E-2</v>
      </c>
      <c r="R23" s="7">
        <v>1.3530820207947023E-2</v>
      </c>
    </row>
    <row r="24" spans="1:18" ht="15.75" thickBot="1">
      <c r="A24">
        <v>21</v>
      </c>
      <c r="B24" s="4">
        <v>41547</v>
      </c>
      <c r="C24" s="3">
        <v>5735.3</v>
      </c>
      <c r="D24" s="2">
        <v>822.35</v>
      </c>
      <c r="E24" s="6">
        <f t="shared" si="0"/>
        <v>-3.4290411602372069E-2</v>
      </c>
      <c r="F24" s="6">
        <f t="shared" si="1"/>
        <v>4.8155999853795824E-2</v>
      </c>
      <c r="J24" s="8" t="s">
        <v>32</v>
      </c>
      <c r="K24" s="8">
        <v>0.82464150627235333</v>
      </c>
      <c r="L24" s="8">
        <v>0.16568396675617436</v>
      </c>
      <c r="M24" s="8">
        <v>4.9771955755134787</v>
      </c>
      <c r="N24" s="8">
        <v>6.2945811515155743E-6</v>
      </c>
      <c r="O24" s="8">
        <v>0.49286508568479481</v>
      </c>
      <c r="P24" s="8">
        <v>1.1564179268599117</v>
      </c>
      <c r="Q24" s="8">
        <v>0.49286508568479481</v>
      </c>
      <c r="R24" s="8">
        <v>1.1564179268599117</v>
      </c>
    </row>
    <row r="25" spans="1:18">
      <c r="A25">
        <v>22</v>
      </c>
      <c r="B25" s="4">
        <v>41578</v>
      </c>
      <c r="C25" s="3">
        <v>6299.15</v>
      </c>
      <c r="D25" s="2">
        <v>912.35</v>
      </c>
      <c r="E25" s="6">
        <f t="shared" si="0"/>
        <v>0.10944245151091384</v>
      </c>
      <c r="F25" s="6">
        <f t="shared" si="1"/>
        <v>9.8312206859274914E-2</v>
      </c>
    </row>
    <row r="26" spans="1:18">
      <c r="A26">
        <v>23</v>
      </c>
      <c r="B26" s="4">
        <v>41608</v>
      </c>
      <c r="C26" s="3">
        <v>6176.1</v>
      </c>
      <c r="D26" s="2">
        <v>853.1</v>
      </c>
      <c r="E26" s="6">
        <f t="shared" si="0"/>
        <v>-6.4942182276538613E-2</v>
      </c>
      <c r="F26" s="6">
        <f t="shared" si="1"/>
        <v>-1.9534381622917263E-2</v>
      </c>
    </row>
    <row r="27" spans="1:18">
      <c r="A27">
        <v>24</v>
      </c>
      <c r="B27" s="4">
        <v>41639</v>
      </c>
      <c r="C27" s="3">
        <v>6304</v>
      </c>
      <c r="D27" s="2">
        <v>894.8</v>
      </c>
      <c r="E27" s="6">
        <f t="shared" si="0"/>
        <v>4.8880553276286404E-2</v>
      </c>
      <c r="F27" s="6">
        <f t="shared" si="1"/>
        <v>2.0708861579313745E-2</v>
      </c>
    </row>
    <row r="28" spans="1:18">
      <c r="A28">
        <v>25</v>
      </c>
      <c r="B28" s="4">
        <v>41670</v>
      </c>
      <c r="C28" s="3">
        <v>6089.5</v>
      </c>
      <c r="D28" s="2">
        <v>830.85</v>
      </c>
      <c r="E28" s="6">
        <f t="shared" si="0"/>
        <v>-7.1468484577559152E-2</v>
      </c>
      <c r="F28" s="6">
        <f t="shared" si="1"/>
        <v>-3.4026015228426396E-2</v>
      </c>
    </row>
    <row r="29" spans="1:18">
      <c r="A29">
        <v>26</v>
      </c>
      <c r="B29" s="4">
        <v>41698</v>
      </c>
      <c r="C29" s="3">
        <v>6276.95</v>
      </c>
      <c r="D29" s="2">
        <v>799.25</v>
      </c>
      <c r="E29" s="6">
        <f t="shared" si="0"/>
        <v>-3.80333393512668E-2</v>
      </c>
      <c r="F29" s="6">
        <f t="shared" si="1"/>
        <v>3.0782494457673015E-2</v>
      </c>
    </row>
    <row r="30" spans="1:18">
      <c r="A30">
        <v>27</v>
      </c>
      <c r="B30" s="4">
        <v>41729</v>
      </c>
      <c r="C30" s="3">
        <v>6704.2</v>
      </c>
      <c r="D30" s="2">
        <v>929.5</v>
      </c>
      <c r="E30" s="6">
        <f t="shared" si="0"/>
        <v>0.16296527994995308</v>
      </c>
      <c r="F30" s="6">
        <f t="shared" si="1"/>
        <v>6.8066497263798501E-2</v>
      </c>
      <c r="K30" s="11">
        <f>-0.039%-0.5%*(1-0.825)</f>
        <v>-1.2650000000000003E-3</v>
      </c>
    </row>
    <row r="31" spans="1:18">
      <c r="A31">
        <v>28</v>
      </c>
      <c r="B31" s="4">
        <v>41759</v>
      </c>
      <c r="C31" s="3">
        <v>6696.4</v>
      </c>
      <c r="D31" s="2">
        <v>935.3</v>
      </c>
      <c r="E31" s="6">
        <f t="shared" si="0"/>
        <v>6.2399139322215757E-3</v>
      </c>
      <c r="F31" s="6">
        <f t="shared" si="1"/>
        <v>-1.1634497777512876E-3</v>
      </c>
      <c r="J31" t="s">
        <v>33</v>
      </c>
      <c r="K31">
        <f>0.825/(1+0.7*20/160)</f>
        <v>0.75862068965517249</v>
      </c>
    </row>
    <row r="32" spans="1:18">
      <c r="A32">
        <v>29</v>
      </c>
      <c r="B32" s="4">
        <v>41790</v>
      </c>
      <c r="C32" s="3">
        <v>7229.95</v>
      </c>
      <c r="D32" s="2">
        <v>1065.1500000000001</v>
      </c>
      <c r="E32" s="6">
        <f t="shared" si="0"/>
        <v>0.13883246017320661</v>
      </c>
      <c r="F32" s="6">
        <f t="shared" si="1"/>
        <v>7.9677139955797172E-2</v>
      </c>
      <c r="J32" t="s">
        <v>34</v>
      </c>
      <c r="L32">
        <f>(K31-0.6*20/180)/(160/180)</f>
        <v>0.77844827586206911</v>
      </c>
    </row>
    <row r="33" spans="1:12">
      <c r="A33">
        <v>30</v>
      </c>
      <c r="B33" s="4">
        <v>41820</v>
      </c>
      <c r="C33" s="3">
        <v>7611.35</v>
      </c>
      <c r="D33" s="2">
        <v>1014.7</v>
      </c>
      <c r="E33" s="6">
        <f t="shared" si="0"/>
        <v>-4.7364221001736886E-2</v>
      </c>
      <c r="F33" s="6">
        <f t="shared" si="1"/>
        <v>5.2752785288971649E-2</v>
      </c>
      <c r="J33" t="s">
        <v>35</v>
      </c>
      <c r="L33">
        <f>L32*(1+0.7*40/120)</f>
        <v>0.960086206896552</v>
      </c>
    </row>
    <row r="34" spans="1:12">
      <c r="A34">
        <v>31</v>
      </c>
      <c r="B34" s="4">
        <v>41851</v>
      </c>
      <c r="C34" s="3">
        <v>7721.3</v>
      </c>
      <c r="D34" s="2">
        <v>1006</v>
      </c>
      <c r="E34" s="6">
        <f t="shared" si="0"/>
        <v>-8.5739627476101761E-3</v>
      </c>
      <c r="F34" s="6">
        <f t="shared" si="1"/>
        <v>1.4445532001550292E-2</v>
      </c>
    </row>
    <row r="35" spans="1:12">
      <c r="A35">
        <v>32</v>
      </c>
      <c r="B35" s="4">
        <v>41882</v>
      </c>
      <c r="C35" s="3">
        <v>7954.35</v>
      </c>
      <c r="D35" s="2">
        <v>999.25</v>
      </c>
      <c r="E35" s="6">
        <f t="shared" si="0"/>
        <v>-6.7097415506958248E-3</v>
      </c>
      <c r="F35" s="6">
        <f t="shared" si="1"/>
        <v>3.0182741248235424E-2</v>
      </c>
    </row>
    <row r="36" spans="1:12">
      <c r="A36">
        <v>33</v>
      </c>
      <c r="B36" s="4">
        <v>41912</v>
      </c>
      <c r="C36" s="3">
        <v>7964.8</v>
      </c>
      <c r="D36" s="2">
        <v>945.35</v>
      </c>
      <c r="E36" s="6">
        <f t="shared" si="0"/>
        <v>-5.3940455341506106E-2</v>
      </c>
      <c r="F36" s="6">
        <f t="shared" si="1"/>
        <v>1.3137465663441788E-3</v>
      </c>
      <c r="I36" t="s">
        <v>39</v>
      </c>
    </row>
    <row r="37" spans="1:12">
      <c r="A37">
        <v>34</v>
      </c>
      <c r="B37" s="4">
        <v>41943</v>
      </c>
      <c r="C37" s="3">
        <v>8322.2000000000007</v>
      </c>
      <c r="D37" s="2">
        <v>999.2</v>
      </c>
      <c r="E37" s="6">
        <f t="shared" si="0"/>
        <v>5.6963029565769312E-2</v>
      </c>
      <c r="F37" s="6">
        <f t="shared" si="1"/>
        <v>4.487243873041389E-2</v>
      </c>
      <c r="I37" t="s">
        <v>40</v>
      </c>
    </row>
    <row r="38" spans="1:12">
      <c r="A38">
        <v>35</v>
      </c>
      <c r="B38" s="4">
        <v>41973</v>
      </c>
      <c r="C38" s="3">
        <v>8588.25</v>
      </c>
      <c r="D38" s="2">
        <v>990.85</v>
      </c>
      <c r="E38" s="6">
        <f t="shared" si="0"/>
        <v>-8.3566853482786446E-3</v>
      </c>
      <c r="F38" s="6">
        <f t="shared" si="1"/>
        <v>3.1968710196822868E-2</v>
      </c>
      <c r="I38" t="s">
        <v>41</v>
      </c>
    </row>
    <row r="39" spans="1:12">
      <c r="A39">
        <v>36</v>
      </c>
      <c r="B39" s="4">
        <v>42004</v>
      </c>
      <c r="C39" s="3">
        <v>8282.7000000000007</v>
      </c>
      <c r="D39" s="2">
        <v>891.15</v>
      </c>
      <c r="E39" s="6">
        <f t="shared" si="0"/>
        <v>-0.1006206792148156</v>
      </c>
      <c r="F39" s="6">
        <f t="shared" si="1"/>
        <v>-3.5577678805344425E-2</v>
      </c>
      <c r="I39" t="s">
        <v>42</v>
      </c>
    </row>
    <row r="40" spans="1:12">
      <c r="A40">
        <v>37</v>
      </c>
      <c r="B40" s="4">
        <v>42035</v>
      </c>
      <c r="C40" s="3">
        <v>8808.9</v>
      </c>
      <c r="D40" s="2">
        <v>915.35</v>
      </c>
      <c r="E40" s="6">
        <f t="shared" si="0"/>
        <v>2.7155922123099419E-2</v>
      </c>
      <c r="F40" s="6">
        <f t="shared" si="1"/>
        <v>6.3530008330616686E-2</v>
      </c>
      <c r="I40" t="s">
        <v>43</v>
      </c>
    </row>
    <row r="41" spans="1:12">
      <c r="A41">
        <v>38</v>
      </c>
      <c r="B41" s="4">
        <v>42063</v>
      </c>
      <c r="C41" s="3">
        <v>8901.85</v>
      </c>
      <c r="D41" s="2">
        <v>866.25</v>
      </c>
      <c r="E41" s="6">
        <f t="shared" si="0"/>
        <v>-5.3640683891407678E-2</v>
      </c>
      <c r="F41" s="6">
        <f t="shared" si="1"/>
        <v>1.0551828264596117E-2</v>
      </c>
      <c r="I41" t="s">
        <v>44</v>
      </c>
    </row>
    <row r="42" spans="1:12">
      <c r="A42">
        <v>39</v>
      </c>
      <c r="B42" s="4">
        <v>42094</v>
      </c>
      <c r="C42" s="3">
        <v>8491</v>
      </c>
      <c r="D42" s="2">
        <v>824.7</v>
      </c>
      <c r="E42" s="6">
        <f t="shared" si="0"/>
        <v>-4.7965367965367912E-2</v>
      </c>
      <c r="F42" s="6">
        <f t="shared" si="1"/>
        <v>-4.6153327679077982E-2</v>
      </c>
      <c r="I42" t="s">
        <v>45</v>
      </c>
    </row>
    <row r="43" spans="1:12">
      <c r="A43">
        <v>40</v>
      </c>
      <c r="B43" s="4">
        <v>42124</v>
      </c>
      <c r="C43" s="3">
        <v>8181.5</v>
      </c>
      <c r="D43" s="2">
        <v>862.85</v>
      </c>
      <c r="E43" s="6">
        <f t="shared" si="0"/>
        <v>4.625924578634652E-2</v>
      </c>
      <c r="F43" s="6">
        <f t="shared" si="1"/>
        <v>-3.6450359203862914E-2</v>
      </c>
      <c r="I43" t="s">
        <v>46</v>
      </c>
    </row>
    <row r="44" spans="1:12">
      <c r="A44">
        <v>41</v>
      </c>
      <c r="B44" s="4">
        <v>42155</v>
      </c>
      <c r="C44" s="3">
        <v>8433.65</v>
      </c>
      <c r="D44" s="2">
        <v>877.15</v>
      </c>
      <c r="E44" s="6">
        <f t="shared" si="0"/>
        <v>1.6572984875702561E-2</v>
      </c>
      <c r="F44" s="6">
        <f t="shared" si="1"/>
        <v>3.0819531870683814E-2</v>
      </c>
      <c r="I44" t="s">
        <v>47</v>
      </c>
    </row>
    <row r="45" spans="1:12">
      <c r="A45">
        <v>42</v>
      </c>
      <c r="B45" s="4">
        <v>42185</v>
      </c>
      <c r="C45" s="3">
        <v>8368.5</v>
      </c>
      <c r="D45" s="2">
        <v>1000.45</v>
      </c>
      <c r="E45" s="6">
        <f t="shared" si="0"/>
        <v>0.14056888787550598</v>
      </c>
      <c r="F45" s="6">
        <f t="shared" si="1"/>
        <v>-7.7250063732784311E-3</v>
      </c>
      <c r="J45" t="s">
        <v>50</v>
      </c>
      <c r="K45" t="s">
        <v>51</v>
      </c>
    </row>
    <row r="46" spans="1:12">
      <c r="A46">
        <v>43</v>
      </c>
      <c r="B46" s="4">
        <v>42216</v>
      </c>
      <c r="C46" s="3">
        <v>8532.85</v>
      </c>
      <c r="D46" s="2">
        <v>1001.65</v>
      </c>
      <c r="E46" s="6">
        <f t="shared" si="0"/>
        <v>1.1994602428906309E-3</v>
      </c>
      <c r="F46" s="6">
        <f t="shared" si="1"/>
        <v>1.9639122901356321E-2</v>
      </c>
      <c r="I46" t="s">
        <v>48</v>
      </c>
      <c r="J46">
        <v>0.82</v>
      </c>
      <c r="K46">
        <f>K51</f>
        <v>0.51249999999999996</v>
      </c>
    </row>
    <row r="47" spans="1:12">
      <c r="A47">
        <v>44</v>
      </c>
      <c r="B47" s="4">
        <v>42247</v>
      </c>
      <c r="C47" s="3">
        <v>7971.3</v>
      </c>
      <c r="D47" s="2">
        <v>856.8</v>
      </c>
      <c r="E47" s="6">
        <f t="shared" si="0"/>
        <v>-0.14461139120451258</v>
      </c>
      <c r="F47" s="6">
        <f t="shared" si="1"/>
        <v>-6.5810368165384381E-2</v>
      </c>
      <c r="I47" t="s">
        <v>49</v>
      </c>
      <c r="J47" s="13">
        <v>0.5</v>
      </c>
      <c r="K47" s="13">
        <v>0.2</v>
      </c>
    </row>
    <row r="48" spans="1:12">
      <c r="A48">
        <v>45</v>
      </c>
      <c r="B48" s="4">
        <v>42277</v>
      </c>
      <c r="C48" s="3">
        <v>7948.9</v>
      </c>
      <c r="D48" s="2">
        <v>860.5</v>
      </c>
      <c r="E48" s="6">
        <f t="shared" si="0"/>
        <v>4.3183940242764304E-3</v>
      </c>
      <c r="F48" s="6">
        <f t="shared" si="1"/>
        <v>-2.8100811661837524E-3</v>
      </c>
    </row>
    <row r="49" spans="1:11">
      <c r="A49">
        <v>46</v>
      </c>
      <c r="B49" s="4">
        <v>42308</v>
      </c>
      <c r="C49" s="3">
        <v>8065.8</v>
      </c>
      <c r="D49" s="2">
        <v>947.85</v>
      </c>
      <c r="E49" s="6">
        <f t="shared" si="0"/>
        <v>0.10151074956420689</v>
      </c>
      <c r="F49" s="6">
        <f t="shared" si="1"/>
        <v>1.4706437368692593E-2</v>
      </c>
      <c r="I49" t="s">
        <v>52</v>
      </c>
    </row>
    <row r="50" spans="1:11">
      <c r="A50">
        <v>47</v>
      </c>
      <c r="B50" s="4">
        <v>42338</v>
      </c>
      <c r="C50" s="3">
        <v>7935.25</v>
      </c>
      <c r="D50" s="2">
        <v>968</v>
      </c>
      <c r="E50" s="6">
        <f t="shared" si="0"/>
        <v>2.1258637970142932E-2</v>
      </c>
      <c r="F50" s="6">
        <f t="shared" si="1"/>
        <v>-1.6185623248778817E-2</v>
      </c>
      <c r="I50" t="s">
        <v>53</v>
      </c>
      <c r="J50" t="s">
        <v>55</v>
      </c>
      <c r="K50">
        <f>J46/(1+1)</f>
        <v>0.41</v>
      </c>
    </row>
    <row r="51" spans="1:11">
      <c r="A51">
        <v>48</v>
      </c>
      <c r="B51" s="4">
        <v>42369</v>
      </c>
      <c r="C51" s="3">
        <v>7946.35</v>
      </c>
      <c r="D51" s="2">
        <v>1012.6</v>
      </c>
      <c r="E51" s="6">
        <f t="shared" si="0"/>
        <v>4.607438016528928E-2</v>
      </c>
      <c r="F51" s="6">
        <f t="shared" si="1"/>
        <v>1.3988217132415947E-3</v>
      </c>
      <c r="I51" t="s">
        <v>54</v>
      </c>
      <c r="J51" t="s">
        <v>56</v>
      </c>
      <c r="K51">
        <f>K50*(1+0.25)</f>
        <v>0.51249999999999996</v>
      </c>
    </row>
    <row r="52" spans="1:11">
      <c r="A52">
        <v>49</v>
      </c>
      <c r="B52" s="4">
        <v>42400</v>
      </c>
      <c r="C52" s="3">
        <v>7563.55</v>
      </c>
      <c r="D52" s="2">
        <v>1035.05</v>
      </c>
      <c r="E52" s="6">
        <f t="shared" si="0"/>
        <v>2.2170649812364142E-2</v>
      </c>
      <c r="F52" s="6">
        <f t="shared" si="1"/>
        <v>-4.8173060587565382E-2</v>
      </c>
    </row>
    <row r="53" spans="1:11">
      <c r="A53">
        <v>50</v>
      </c>
      <c r="B53" s="4">
        <v>42429</v>
      </c>
      <c r="C53" s="3">
        <v>6987.05</v>
      </c>
      <c r="D53" s="2">
        <v>966.55</v>
      </c>
      <c r="E53" s="6">
        <f t="shared" si="0"/>
        <v>-6.6180377759528522E-2</v>
      </c>
      <c r="F53" s="6">
        <f t="shared" si="1"/>
        <v>-7.622082223294617E-2</v>
      </c>
    </row>
    <row r="54" spans="1:11">
      <c r="A54">
        <v>51</v>
      </c>
      <c r="B54" s="4">
        <v>42460</v>
      </c>
      <c r="C54" s="3">
        <v>7738.4</v>
      </c>
      <c r="D54" s="2">
        <v>1045.25</v>
      </c>
      <c r="E54" s="6">
        <f t="shared" si="0"/>
        <v>8.1423620092080123E-2</v>
      </c>
      <c r="F54" s="6">
        <f t="shared" si="1"/>
        <v>0.10753465339449401</v>
      </c>
    </row>
    <row r="55" spans="1:11">
      <c r="A55">
        <v>52</v>
      </c>
      <c r="B55" s="4">
        <v>42490</v>
      </c>
      <c r="C55" s="3">
        <v>7849.8</v>
      </c>
      <c r="D55" s="2">
        <v>982.55</v>
      </c>
      <c r="E55" s="6">
        <f t="shared" si="0"/>
        <v>-5.998564936618038E-2</v>
      </c>
      <c r="F55" s="6">
        <f t="shared" si="1"/>
        <v>1.4395740721596266E-2</v>
      </c>
    </row>
    <row r="56" spans="1:11">
      <c r="A56">
        <v>53</v>
      </c>
      <c r="B56" s="4">
        <v>42521</v>
      </c>
      <c r="C56" s="3">
        <v>8160.1</v>
      </c>
      <c r="D56" s="2">
        <v>958.95</v>
      </c>
      <c r="E56" s="6">
        <f t="shared" si="0"/>
        <v>-2.4019133886316126E-2</v>
      </c>
      <c r="F56" s="6">
        <f t="shared" si="1"/>
        <v>3.952966954572093E-2</v>
      </c>
    </row>
    <row r="57" spans="1:11">
      <c r="A57">
        <v>54</v>
      </c>
      <c r="B57" s="4">
        <v>42551</v>
      </c>
      <c r="C57" s="3">
        <v>8287.75</v>
      </c>
      <c r="D57" s="2">
        <v>969.45</v>
      </c>
      <c r="E57" s="6">
        <f t="shared" si="0"/>
        <v>1.0949475989363366E-2</v>
      </c>
      <c r="F57" s="6">
        <f t="shared" si="1"/>
        <v>1.5643190647173396E-2</v>
      </c>
    </row>
    <row r="58" spans="1:11">
      <c r="A58">
        <v>55</v>
      </c>
      <c r="B58" s="4">
        <v>42582</v>
      </c>
      <c r="C58" s="3">
        <v>8638.5</v>
      </c>
      <c r="D58" s="2">
        <v>1015.5</v>
      </c>
      <c r="E58" s="6">
        <f t="shared" si="0"/>
        <v>4.750116045180252E-2</v>
      </c>
      <c r="F58" s="6">
        <f t="shared" si="1"/>
        <v>4.2321498597327381E-2</v>
      </c>
    </row>
    <row r="59" spans="1:11">
      <c r="A59">
        <v>56</v>
      </c>
      <c r="B59" s="4">
        <v>42613</v>
      </c>
      <c r="C59" s="3">
        <v>8786.2000000000007</v>
      </c>
      <c r="D59" s="2">
        <v>1058</v>
      </c>
      <c r="E59" s="6">
        <f t="shared" si="0"/>
        <v>4.1851304775972424E-2</v>
      </c>
      <c r="F59" s="6">
        <f t="shared" si="1"/>
        <v>1.7097875788620792E-2</v>
      </c>
    </row>
    <row r="60" spans="1:11">
      <c r="A60">
        <v>57</v>
      </c>
      <c r="B60" s="4">
        <v>42643</v>
      </c>
      <c r="C60" s="3">
        <v>8611.15</v>
      </c>
      <c r="D60" s="2">
        <v>1082.0999999999999</v>
      </c>
      <c r="E60" s="6">
        <f t="shared" si="0"/>
        <v>2.2778827977315605E-2</v>
      </c>
      <c r="F60" s="6">
        <f t="shared" si="1"/>
        <v>-1.9923288793790385E-2</v>
      </c>
    </row>
    <row r="61" spans="1:11">
      <c r="A61">
        <v>58</v>
      </c>
      <c r="B61" s="4">
        <v>42674</v>
      </c>
      <c r="C61" s="3">
        <v>8625.7000000000007</v>
      </c>
      <c r="D61" s="2">
        <v>1051.2</v>
      </c>
      <c r="E61" s="6">
        <f t="shared" si="0"/>
        <v>-2.8555586359855712E-2</v>
      </c>
      <c r="F61" s="6">
        <f t="shared" si="1"/>
        <v>1.6896697885881782E-3</v>
      </c>
    </row>
    <row r="62" spans="1:11">
      <c r="A62">
        <v>59</v>
      </c>
      <c r="B62" s="4">
        <v>42704</v>
      </c>
      <c r="C62" s="3">
        <v>8224.5</v>
      </c>
      <c r="D62" s="2">
        <v>992.75</v>
      </c>
      <c r="E62" s="6">
        <f t="shared" si="0"/>
        <v>-5.5603120243531243E-2</v>
      </c>
      <c r="F62" s="6">
        <f t="shared" si="1"/>
        <v>-4.6512167128465016E-2</v>
      </c>
    </row>
    <row r="63" spans="1:11">
      <c r="A63">
        <v>60</v>
      </c>
      <c r="B63" s="4">
        <v>42734</v>
      </c>
      <c r="C63" s="3">
        <v>8032.85</v>
      </c>
      <c r="D63" s="2">
        <v>1064.4000000000001</v>
      </c>
      <c r="E63" s="6">
        <f t="shared" si="0"/>
        <v>7.2173256106774206E-2</v>
      </c>
      <c r="F63" s="6">
        <f t="shared" si="1"/>
        <v>-2.3302328409021782E-2</v>
      </c>
    </row>
  </sheetData>
  <sortState ref="A4:D63">
    <sortCondition ref="B4:B6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L4:M8"/>
  <sheetViews>
    <sheetView zoomScale="110" zoomScaleNormal="110" workbookViewId="0">
      <selection activeCell="M8" sqref="M8"/>
    </sheetView>
  </sheetViews>
  <sheetFormatPr defaultColWidth="11.42578125" defaultRowHeight="15"/>
  <cols>
    <col min="13" max="13" width="10.28515625" customWidth="1"/>
  </cols>
  <sheetData>
    <row r="4" spans="12:13">
      <c r="L4" t="s">
        <v>57</v>
      </c>
      <c r="M4" s="13">
        <v>0.12</v>
      </c>
    </row>
    <row r="5" spans="12:13">
      <c r="L5" t="s">
        <v>58</v>
      </c>
      <c r="M5" s="14">
        <f>11/95</f>
        <v>0.11578947368421053</v>
      </c>
    </row>
    <row r="6" spans="12:13">
      <c r="L6" t="s">
        <v>59</v>
      </c>
      <c r="M6" s="15">
        <f>11%+1.51*3%</f>
        <v>0.15529999999999999</v>
      </c>
    </row>
    <row r="8" spans="12:13">
      <c r="L8" t="s">
        <v>60</v>
      </c>
      <c r="M8" s="15">
        <f>M4*(1-40%)*25%+M5*15%+M6*60%</f>
        <v>0.12854842105263159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9:N35"/>
  <sheetViews>
    <sheetView tabSelected="1" topLeftCell="A11" workbookViewId="0">
      <selection activeCell="I28" sqref="I28"/>
    </sheetView>
  </sheetViews>
  <sheetFormatPr defaultColWidth="11.42578125" defaultRowHeight="15"/>
  <cols>
    <col min="14" max="14" width="10.140625" customWidth="1"/>
  </cols>
  <sheetData>
    <row r="9" spans="13:14">
      <c r="M9" t="s">
        <v>61</v>
      </c>
      <c r="N9">
        <f>1.1/(1+500/1200)</f>
        <v>0.77647058823529413</v>
      </c>
    </row>
    <row r="10" spans="13:14">
      <c r="M10" t="s">
        <v>62</v>
      </c>
      <c r="N10">
        <f>N9*(1+1)</f>
        <v>1.5529411764705883</v>
      </c>
    </row>
    <row r="12" spans="13:14">
      <c r="M12" t="s">
        <v>59</v>
      </c>
      <c r="N12" s="15">
        <f>8%+N10*8%</f>
        <v>0.20423529411764707</v>
      </c>
    </row>
    <row r="13" spans="13:14">
      <c r="M13" t="s">
        <v>63</v>
      </c>
      <c r="N13">
        <f>12%*(1-30%)</f>
        <v>8.3999999999999991E-2</v>
      </c>
    </row>
    <row r="14" spans="13:14">
      <c r="M14" t="s">
        <v>60</v>
      </c>
      <c r="N14" s="15">
        <f>N13*50%+N12*50%</f>
        <v>0.14411764705882352</v>
      </c>
    </row>
    <row r="26" spans="2:4">
      <c r="B26" t="s">
        <v>64</v>
      </c>
    </row>
    <row r="27" spans="2:4">
      <c r="C27" t="s">
        <v>65</v>
      </c>
    </row>
    <row r="29" spans="2:4">
      <c r="B29" t="s">
        <v>66</v>
      </c>
    </row>
    <row r="30" spans="2:4">
      <c r="B30">
        <v>1</v>
      </c>
      <c r="C30" t="s">
        <v>69</v>
      </c>
      <c r="D30" t="s">
        <v>71</v>
      </c>
    </row>
    <row r="31" spans="2:4">
      <c r="B31">
        <v>2</v>
      </c>
      <c r="C31" t="s">
        <v>67</v>
      </c>
    </row>
    <row r="32" spans="2:4">
      <c r="B32">
        <v>3</v>
      </c>
      <c r="C32" t="s">
        <v>68</v>
      </c>
    </row>
    <row r="33" spans="2:3">
      <c r="B33">
        <v>4</v>
      </c>
      <c r="C33" t="s">
        <v>70</v>
      </c>
    </row>
    <row r="35" spans="2:3">
      <c r="B35" t="s">
        <v>72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Nilanjan Mukhopadhya</cp:lastModifiedBy>
  <dcterms:created xsi:type="dcterms:W3CDTF">2016-12-30T09:25:34Z</dcterms:created>
  <dcterms:modified xsi:type="dcterms:W3CDTF">2020-05-19T07:30:39Z</dcterms:modified>
</cp:coreProperties>
</file>