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7460" tabRatio="1000" activeTab="10"/>
  </bookViews>
  <sheets>
    <sheet name="Sheet1" sheetId="1" r:id="rId1"/>
    <sheet name="t2.small" sheetId="2" r:id="rId2"/>
    <sheet name="m3.large" sheetId="3" r:id="rId3"/>
    <sheet name="c3.8xlarge" sheetId="4" r:id="rId4"/>
    <sheet name="g2.2xlarge" sheetId="5" r:id="rId5"/>
    <sheet name="r3.4xlarge" sheetId="6" r:id="rId6"/>
    <sheet name="i2.8xlarge" sheetId="7" r:id="rId7"/>
    <sheet name="hs1.8xlarge" sheetId="8" r:id="rId8"/>
    <sheet name="Cost per Instance" sheetId="9" r:id="rId9"/>
    <sheet name="Cost per GFLOPS" sheetId="10" r:id="rId10"/>
    <sheet name="Utilization" sheetId="12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G13" i="7"/>
  <c r="G14" i="7"/>
  <c r="G19" i="7"/>
  <c r="G20" i="7"/>
  <c r="G21" i="7"/>
  <c r="G13" i="5"/>
  <c r="G14" i="5"/>
  <c r="G19" i="5"/>
  <c r="G20" i="5"/>
  <c r="G21" i="5"/>
  <c r="G22" i="5"/>
  <c r="G23" i="5"/>
  <c r="C8" i="10"/>
  <c r="D8" i="10"/>
  <c r="C7" i="10"/>
  <c r="D7" i="10"/>
  <c r="C6" i="10"/>
  <c r="D6" i="10"/>
  <c r="C5" i="10"/>
  <c r="D5" i="10"/>
  <c r="E5" i="10"/>
  <c r="C4" i="10"/>
  <c r="D4" i="10"/>
  <c r="C3" i="10"/>
  <c r="D3" i="10"/>
  <c r="B8" i="10"/>
  <c r="B7" i="10"/>
  <c r="B6" i="10"/>
  <c r="B5" i="10"/>
  <c r="B4" i="10"/>
  <c r="B3" i="10"/>
  <c r="C2" i="10"/>
  <c r="D2" i="10"/>
  <c r="B2" i="10"/>
  <c r="G13" i="8"/>
  <c r="G14" i="8"/>
  <c r="G19" i="8"/>
  <c r="G20" i="8"/>
  <c r="G21" i="8"/>
  <c r="G22" i="8"/>
  <c r="G23" i="8"/>
  <c r="G22" i="7"/>
  <c r="G23" i="7"/>
  <c r="G12" i="6"/>
  <c r="G18" i="6"/>
  <c r="G19" i="6"/>
  <c r="G20" i="6"/>
  <c r="G21" i="6"/>
  <c r="G22" i="6"/>
  <c r="G19" i="4"/>
  <c r="G20" i="4"/>
  <c r="G21" i="4"/>
  <c r="G22" i="4"/>
  <c r="G23" i="4"/>
  <c r="G18" i="2"/>
  <c r="G19" i="2"/>
  <c r="G20" i="2"/>
  <c r="G21" i="2"/>
  <c r="G22" i="2"/>
  <c r="G18" i="3"/>
  <c r="G19" i="3"/>
  <c r="G20" i="3"/>
  <c r="G21" i="3"/>
  <c r="G22" i="3"/>
  <c r="E52" i="12"/>
  <c r="F52" i="12"/>
  <c r="G52" i="12"/>
  <c r="H52" i="12"/>
  <c r="F51" i="12"/>
  <c r="G51" i="12"/>
  <c r="H51" i="12"/>
  <c r="F50" i="12"/>
  <c r="G50" i="12"/>
  <c r="H50" i="12"/>
  <c r="F49" i="12"/>
  <c r="G49" i="12"/>
  <c r="H49" i="12"/>
  <c r="F48" i="12"/>
  <c r="G48" i="12"/>
  <c r="H48" i="12"/>
  <c r="F47" i="12"/>
  <c r="G47" i="12"/>
  <c r="H47" i="12"/>
  <c r="F46" i="12"/>
  <c r="G46" i="12"/>
  <c r="H46" i="12"/>
  <c r="H17" i="1"/>
  <c r="G25" i="1"/>
  <c r="F25" i="1"/>
  <c r="E25" i="1"/>
  <c r="D25" i="1"/>
  <c r="C25" i="1"/>
  <c r="B25" i="1"/>
  <c r="H16" i="1"/>
  <c r="G24" i="1"/>
  <c r="F24" i="1"/>
  <c r="E24" i="1"/>
  <c r="D24" i="1"/>
  <c r="C24" i="1"/>
  <c r="B24" i="1"/>
  <c r="H15" i="1"/>
  <c r="G23" i="1"/>
  <c r="F23" i="1"/>
  <c r="E23" i="1"/>
  <c r="D23" i="1"/>
  <c r="C23" i="1"/>
  <c r="B23" i="1"/>
  <c r="H14" i="1"/>
  <c r="G22" i="1"/>
  <c r="F22" i="1"/>
  <c r="E22" i="1"/>
  <c r="D22" i="1"/>
  <c r="C22" i="1"/>
  <c r="B22" i="1"/>
  <c r="H13" i="1"/>
  <c r="G21" i="1"/>
  <c r="F21" i="1"/>
  <c r="E21" i="1"/>
  <c r="D21" i="1"/>
  <c r="C21" i="1"/>
  <c r="B21" i="1"/>
  <c r="H12" i="1"/>
  <c r="G20" i="1"/>
  <c r="F20" i="1"/>
  <c r="E20" i="1"/>
  <c r="D20" i="1"/>
  <c r="C20" i="1"/>
  <c r="B20" i="1"/>
  <c r="H11" i="1"/>
  <c r="G19" i="1"/>
  <c r="F19" i="1"/>
  <c r="E19" i="1"/>
  <c r="D19" i="1"/>
  <c r="C19" i="1"/>
  <c r="B19" i="1"/>
  <c r="H8" i="10"/>
  <c r="H7" i="10"/>
  <c r="H6" i="10"/>
  <c r="H5" i="10"/>
  <c r="H4" i="10"/>
  <c r="H3" i="10"/>
  <c r="G8" i="10"/>
  <c r="G7" i="10"/>
  <c r="G6" i="10"/>
  <c r="G5" i="10"/>
  <c r="G4" i="10"/>
  <c r="G3" i="10"/>
  <c r="F8" i="10"/>
  <c r="F7" i="10"/>
  <c r="F6" i="10"/>
  <c r="F5" i="10"/>
  <c r="F4" i="10"/>
  <c r="F3" i="10"/>
  <c r="E8" i="10"/>
  <c r="E7" i="10"/>
  <c r="E6" i="10"/>
  <c r="E4" i="10"/>
  <c r="E3" i="10"/>
  <c r="H2" i="10"/>
  <c r="G2" i="10"/>
  <c r="F2" i="10"/>
  <c r="E2" i="10"/>
  <c r="C15" i="10"/>
  <c r="D15" i="10"/>
  <c r="E15" i="10"/>
  <c r="F15" i="10"/>
  <c r="G15" i="10"/>
  <c r="H15" i="10"/>
  <c r="C14" i="10"/>
  <c r="D14" i="10"/>
  <c r="E14" i="10"/>
  <c r="F14" i="10"/>
  <c r="G14" i="10"/>
  <c r="H14" i="10"/>
  <c r="C13" i="10"/>
  <c r="D13" i="10"/>
  <c r="E13" i="10"/>
  <c r="F13" i="10"/>
  <c r="G13" i="10"/>
  <c r="H13" i="10"/>
  <c r="C12" i="10"/>
  <c r="D12" i="10"/>
  <c r="E12" i="10"/>
  <c r="F12" i="10"/>
  <c r="G12" i="10"/>
  <c r="H12" i="10"/>
  <c r="C11" i="10"/>
  <c r="D11" i="10"/>
  <c r="E11" i="10"/>
  <c r="F11" i="10"/>
  <c r="G11" i="10"/>
  <c r="H11" i="10"/>
  <c r="B15" i="10"/>
  <c r="B14" i="10"/>
  <c r="B13" i="10"/>
  <c r="B12" i="10"/>
  <c r="B11" i="10"/>
  <c r="C10" i="10"/>
  <c r="D10" i="10"/>
  <c r="E10" i="10"/>
  <c r="F10" i="10"/>
  <c r="G10" i="10"/>
  <c r="H10" i="10"/>
  <c r="B10" i="10"/>
  <c r="C9" i="10"/>
  <c r="D9" i="10"/>
  <c r="E9" i="10"/>
  <c r="F9" i="10"/>
  <c r="G9" i="10"/>
  <c r="H9" i="10"/>
  <c r="B9" i="10"/>
  <c r="L6" i="8"/>
  <c r="K6" i="8"/>
  <c r="J6" i="8"/>
  <c r="I6" i="8"/>
  <c r="G6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I28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28" i="8"/>
  <c r="J11" i="8"/>
  <c r="J12" i="8"/>
  <c r="J13" i="8"/>
  <c r="J14" i="8"/>
  <c r="J15" i="8"/>
  <c r="J18" i="8"/>
  <c r="J19" i="8"/>
  <c r="J20" i="8"/>
  <c r="J21" i="8"/>
  <c r="J22" i="8"/>
  <c r="J23" i="8"/>
  <c r="G28" i="8"/>
  <c r="I11" i="8"/>
  <c r="I12" i="8"/>
  <c r="I13" i="8"/>
  <c r="I14" i="8"/>
  <c r="I15" i="8"/>
  <c r="I17" i="8"/>
  <c r="I18" i="8"/>
  <c r="I19" i="8"/>
  <c r="I20" i="8"/>
  <c r="I21" i="8"/>
  <c r="I22" i="8"/>
  <c r="I23" i="8"/>
  <c r="F28" i="8"/>
  <c r="E28" i="8"/>
  <c r="D28" i="8"/>
  <c r="C28" i="8"/>
  <c r="B28" i="8"/>
  <c r="H12" i="8"/>
  <c r="H13" i="8"/>
  <c r="H14" i="8"/>
  <c r="H15" i="8"/>
  <c r="H19" i="8"/>
  <c r="H20" i="8"/>
  <c r="H21" i="8"/>
  <c r="H22" i="8"/>
  <c r="H23" i="8"/>
  <c r="D12" i="8"/>
  <c r="L8" i="8"/>
  <c r="K8" i="8"/>
  <c r="J8" i="8"/>
  <c r="I8" i="8"/>
  <c r="H8" i="8"/>
  <c r="H6" i="8"/>
  <c r="D6" i="8"/>
  <c r="L5" i="6"/>
  <c r="K5" i="6"/>
  <c r="J5" i="6"/>
  <c r="I5" i="6"/>
  <c r="G5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I27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H27" i="6"/>
  <c r="J10" i="6"/>
  <c r="J11" i="6"/>
  <c r="J12" i="6"/>
  <c r="J13" i="6"/>
  <c r="J14" i="6"/>
  <c r="J17" i="6"/>
  <c r="J18" i="6"/>
  <c r="J19" i="6"/>
  <c r="J20" i="6"/>
  <c r="J21" i="6"/>
  <c r="J22" i="6"/>
  <c r="G27" i="6"/>
  <c r="I10" i="6"/>
  <c r="I11" i="6"/>
  <c r="I12" i="6"/>
  <c r="I13" i="6"/>
  <c r="I14" i="6"/>
  <c r="I16" i="6"/>
  <c r="I17" i="6"/>
  <c r="I18" i="6"/>
  <c r="I19" i="6"/>
  <c r="I20" i="6"/>
  <c r="I21" i="6"/>
  <c r="I22" i="6"/>
  <c r="F27" i="6"/>
  <c r="E27" i="6"/>
  <c r="D27" i="6"/>
  <c r="C27" i="6"/>
  <c r="B27" i="6"/>
  <c r="H11" i="6"/>
  <c r="H12" i="6"/>
  <c r="H13" i="6"/>
  <c r="H14" i="6"/>
  <c r="H18" i="6"/>
  <c r="H19" i="6"/>
  <c r="H20" i="6"/>
  <c r="H21" i="6"/>
  <c r="H22" i="6"/>
  <c r="D11" i="6"/>
  <c r="L7" i="6"/>
  <c r="K7" i="6"/>
  <c r="J7" i="6"/>
  <c r="I7" i="6"/>
  <c r="H7" i="6"/>
  <c r="H5" i="6"/>
  <c r="D5" i="6"/>
  <c r="L12" i="5"/>
  <c r="K12" i="5"/>
  <c r="J12" i="5"/>
  <c r="L17" i="5"/>
  <c r="K17" i="5"/>
  <c r="J17" i="5"/>
  <c r="L16" i="5"/>
  <c r="K16" i="5"/>
  <c r="J16" i="5"/>
  <c r="L7" i="5"/>
  <c r="K7" i="5"/>
  <c r="J7" i="5"/>
  <c r="K5" i="5"/>
  <c r="L5" i="5"/>
  <c r="J5" i="5"/>
  <c r="G5" i="5"/>
  <c r="L10" i="5"/>
  <c r="L11" i="5"/>
  <c r="L13" i="5"/>
  <c r="L14" i="5"/>
  <c r="L15" i="5"/>
  <c r="L18" i="5"/>
  <c r="L19" i="5"/>
  <c r="L20" i="5"/>
  <c r="L21" i="5"/>
  <c r="L22" i="5"/>
  <c r="L23" i="5"/>
  <c r="I28" i="5"/>
  <c r="K10" i="5"/>
  <c r="K11" i="5"/>
  <c r="K13" i="5"/>
  <c r="K14" i="5"/>
  <c r="K15" i="5"/>
  <c r="K18" i="5"/>
  <c r="K19" i="5"/>
  <c r="K20" i="5"/>
  <c r="K21" i="5"/>
  <c r="K22" i="5"/>
  <c r="K23" i="5"/>
  <c r="H28" i="5"/>
  <c r="J10" i="5"/>
  <c r="J11" i="5"/>
  <c r="J13" i="5"/>
  <c r="J14" i="5"/>
  <c r="J15" i="5"/>
  <c r="J18" i="5"/>
  <c r="J19" i="5"/>
  <c r="J20" i="5"/>
  <c r="J21" i="5"/>
  <c r="J22" i="5"/>
  <c r="J23" i="5"/>
  <c r="G28" i="5"/>
  <c r="I10" i="5"/>
  <c r="I11" i="5"/>
  <c r="I13" i="5"/>
  <c r="I14" i="5"/>
  <c r="I15" i="5"/>
  <c r="I16" i="5"/>
  <c r="I17" i="5"/>
  <c r="I18" i="5"/>
  <c r="I19" i="5"/>
  <c r="I20" i="5"/>
  <c r="I21" i="5"/>
  <c r="I22" i="5"/>
  <c r="I23" i="5"/>
  <c r="F28" i="5"/>
  <c r="E28" i="5"/>
  <c r="D28" i="5"/>
  <c r="C28" i="5"/>
  <c r="B28" i="5"/>
  <c r="H11" i="5"/>
  <c r="H13" i="5"/>
  <c r="H14" i="5"/>
  <c r="H15" i="5"/>
  <c r="H19" i="5"/>
  <c r="H20" i="5"/>
  <c r="H21" i="5"/>
  <c r="H22" i="5"/>
  <c r="H23" i="5"/>
  <c r="D11" i="5"/>
  <c r="H7" i="5"/>
  <c r="I5" i="5"/>
  <c r="H5" i="5"/>
  <c r="D5" i="5"/>
  <c r="G2" i="8"/>
  <c r="G2" i="6"/>
  <c r="G2" i="5"/>
  <c r="L17" i="4"/>
  <c r="L17" i="7"/>
  <c r="L6" i="7"/>
  <c r="K6" i="7"/>
  <c r="J6" i="7"/>
  <c r="I6" i="7"/>
  <c r="G2" i="7"/>
  <c r="L11" i="7"/>
  <c r="L12" i="7"/>
  <c r="L13" i="7"/>
  <c r="L14" i="7"/>
  <c r="L15" i="7"/>
  <c r="L16" i="7"/>
  <c r="L18" i="7"/>
  <c r="L19" i="7"/>
  <c r="L20" i="7"/>
  <c r="L21" i="7"/>
  <c r="L22" i="7"/>
  <c r="L23" i="7"/>
  <c r="I28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28" i="7"/>
  <c r="J11" i="7"/>
  <c r="J12" i="7"/>
  <c r="J13" i="7"/>
  <c r="J14" i="7"/>
  <c r="J15" i="7"/>
  <c r="J18" i="7"/>
  <c r="J19" i="7"/>
  <c r="J20" i="7"/>
  <c r="J21" i="7"/>
  <c r="J22" i="7"/>
  <c r="J23" i="7"/>
  <c r="G28" i="7"/>
  <c r="I11" i="7"/>
  <c r="I12" i="7"/>
  <c r="I13" i="7"/>
  <c r="I14" i="7"/>
  <c r="I15" i="7"/>
  <c r="I17" i="7"/>
  <c r="I18" i="7"/>
  <c r="I19" i="7"/>
  <c r="I20" i="7"/>
  <c r="I21" i="7"/>
  <c r="I22" i="7"/>
  <c r="I23" i="7"/>
  <c r="F28" i="7"/>
  <c r="E28" i="7"/>
  <c r="D28" i="7"/>
  <c r="C28" i="7"/>
  <c r="B28" i="7"/>
  <c r="H12" i="7"/>
  <c r="H13" i="7"/>
  <c r="H14" i="7"/>
  <c r="H15" i="7"/>
  <c r="H19" i="7"/>
  <c r="H20" i="7"/>
  <c r="H21" i="7"/>
  <c r="H22" i="7"/>
  <c r="H23" i="7"/>
  <c r="D12" i="7"/>
  <c r="L8" i="7"/>
  <c r="K8" i="7"/>
  <c r="J8" i="7"/>
  <c r="I8" i="7"/>
  <c r="H8" i="7"/>
  <c r="H6" i="7"/>
  <c r="D6" i="7"/>
  <c r="L13" i="4"/>
  <c r="L11" i="4"/>
  <c r="L12" i="4"/>
  <c r="L14" i="4"/>
  <c r="L15" i="4"/>
  <c r="L16" i="4"/>
  <c r="L18" i="4"/>
  <c r="L19" i="4"/>
  <c r="L20" i="4"/>
  <c r="L21" i="4"/>
  <c r="L22" i="4"/>
  <c r="L23" i="4"/>
  <c r="K19" i="4"/>
  <c r="J19" i="4"/>
  <c r="I19" i="4"/>
  <c r="K17" i="4"/>
  <c r="K16" i="4"/>
  <c r="K11" i="4"/>
  <c r="J11" i="4"/>
  <c r="I11" i="4"/>
  <c r="I8" i="4"/>
  <c r="J8" i="4"/>
  <c r="K8" i="4"/>
  <c r="L8" i="4"/>
  <c r="H8" i="4"/>
  <c r="J6" i="4"/>
  <c r="K6" i="4"/>
  <c r="L6" i="4"/>
  <c r="I6" i="4"/>
  <c r="D12" i="4"/>
  <c r="G2" i="4"/>
  <c r="I28" i="4"/>
  <c r="K12" i="4"/>
  <c r="K13" i="4"/>
  <c r="K14" i="4"/>
  <c r="K15" i="4"/>
  <c r="K18" i="4"/>
  <c r="K20" i="4"/>
  <c r="K21" i="4"/>
  <c r="K22" i="4"/>
  <c r="K23" i="4"/>
  <c r="H28" i="4"/>
  <c r="J12" i="4"/>
  <c r="J13" i="4"/>
  <c r="J14" i="4"/>
  <c r="J15" i="4"/>
  <c r="J18" i="4"/>
  <c r="J20" i="4"/>
  <c r="J21" i="4"/>
  <c r="J22" i="4"/>
  <c r="J23" i="4"/>
  <c r="G28" i="4"/>
  <c r="I12" i="4"/>
  <c r="I13" i="4"/>
  <c r="I14" i="4"/>
  <c r="I15" i="4"/>
  <c r="I17" i="4"/>
  <c r="I18" i="4"/>
  <c r="I20" i="4"/>
  <c r="I21" i="4"/>
  <c r="I22" i="4"/>
  <c r="I23" i="4"/>
  <c r="F28" i="4"/>
  <c r="E28" i="4"/>
  <c r="D28" i="4"/>
  <c r="C28" i="4"/>
  <c r="B28" i="4"/>
  <c r="H12" i="4"/>
  <c r="H13" i="4"/>
  <c r="H14" i="4"/>
  <c r="H15" i="4"/>
  <c r="H19" i="4"/>
  <c r="H20" i="4"/>
  <c r="H21" i="4"/>
  <c r="H22" i="4"/>
  <c r="H23" i="4"/>
  <c r="H6" i="4"/>
  <c r="D6" i="4"/>
  <c r="H5" i="3"/>
  <c r="J5" i="3"/>
  <c r="K5" i="3"/>
  <c r="L5" i="3"/>
  <c r="I5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I27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H27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G27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F27" i="3"/>
  <c r="E27" i="3"/>
  <c r="D27" i="3"/>
  <c r="C27" i="3"/>
  <c r="B27" i="3"/>
  <c r="H11" i="3"/>
  <c r="H12" i="3"/>
  <c r="H13" i="3"/>
  <c r="H14" i="3"/>
  <c r="H18" i="3"/>
  <c r="H19" i="3"/>
  <c r="H20" i="3"/>
  <c r="H21" i="3"/>
  <c r="H22" i="3"/>
  <c r="D11" i="3"/>
  <c r="H7" i="3"/>
  <c r="D5" i="3"/>
  <c r="I12" i="2"/>
  <c r="I10" i="2"/>
  <c r="I11" i="2"/>
  <c r="I13" i="2"/>
  <c r="I14" i="2"/>
  <c r="I15" i="2"/>
  <c r="I16" i="2"/>
  <c r="I17" i="2"/>
  <c r="I18" i="2"/>
  <c r="I19" i="2"/>
  <c r="I20" i="2"/>
  <c r="I21" i="2"/>
  <c r="I22" i="2"/>
  <c r="F27" i="2"/>
  <c r="L12" i="2"/>
  <c r="L10" i="2"/>
  <c r="L11" i="2"/>
  <c r="L13" i="2"/>
  <c r="L14" i="2"/>
  <c r="L15" i="2"/>
  <c r="L16" i="2"/>
  <c r="L17" i="2"/>
  <c r="L18" i="2"/>
  <c r="L19" i="2"/>
  <c r="L20" i="2"/>
  <c r="L21" i="2"/>
  <c r="L22" i="2"/>
  <c r="I27" i="2"/>
  <c r="K12" i="2"/>
  <c r="K10" i="2"/>
  <c r="K11" i="2"/>
  <c r="K13" i="2"/>
  <c r="K14" i="2"/>
  <c r="K15" i="2"/>
  <c r="K16" i="2"/>
  <c r="K17" i="2"/>
  <c r="K18" i="2"/>
  <c r="K19" i="2"/>
  <c r="K20" i="2"/>
  <c r="K21" i="2"/>
  <c r="K22" i="2"/>
  <c r="H27" i="2"/>
  <c r="J12" i="2"/>
  <c r="J10" i="2"/>
  <c r="J11" i="2"/>
  <c r="J13" i="2"/>
  <c r="J14" i="2"/>
  <c r="J15" i="2"/>
  <c r="J16" i="2"/>
  <c r="J17" i="2"/>
  <c r="J18" i="2"/>
  <c r="J19" i="2"/>
  <c r="J20" i="2"/>
  <c r="J21" i="2"/>
  <c r="J22" i="2"/>
  <c r="G27" i="2"/>
  <c r="D27" i="2"/>
  <c r="C27" i="2"/>
  <c r="B27" i="2"/>
  <c r="E27" i="2"/>
  <c r="D5" i="2"/>
  <c r="H11" i="2"/>
  <c r="H12" i="2"/>
  <c r="H13" i="2"/>
  <c r="H14" i="2"/>
  <c r="H18" i="2"/>
  <c r="H19" i="2"/>
  <c r="H20" i="2"/>
  <c r="H21" i="2"/>
  <c r="H7" i="2"/>
  <c r="I5" i="2"/>
  <c r="J5" i="2"/>
  <c r="K5" i="2"/>
  <c r="L5" i="2"/>
  <c r="H22" i="2"/>
  <c r="H5" i="2"/>
  <c r="D11" i="2"/>
</calcChain>
</file>

<file path=xl/sharedStrings.xml><?xml version="1.0" encoding="utf-8"?>
<sst xmlns="http://schemas.openxmlformats.org/spreadsheetml/2006/main" count="395" uniqueCount="86">
  <si>
    <t>Instance Type</t>
  </si>
  <si>
    <t>t2.small</t>
  </si>
  <si>
    <t>m3.large</t>
  </si>
  <si>
    <t>c3.8xlarge</t>
  </si>
  <si>
    <t>g2.2xlarge</t>
  </si>
  <si>
    <t>r3.4xlrge</t>
  </si>
  <si>
    <t>i2.8xlarge</t>
  </si>
  <si>
    <t>hs1.8xlarge</t>
  </si>
  <si>
    <t>vCPU</t>
  </si>
  <si>
    <t>Memory(GiB)</t>
  </si>
  <si>
    <t>Storage (GB)</t>
  </si>
  <si>
    <t>EBS</t>
  </si>
  <si>
    <t>1X32 SSD</t>
  </si>
  <si>
    <t>2X320 SSD</t>
  </si>
  <si>
    <t>60 SSD</t>
  </si>
  <si>
    <t>1x320 SSD</t>
  </si>
  <si>
    <t>8X800 SSD</t>
  </si>
  <si>
    <t>24X2048</t>
  </si>
  <si>
    <t>Cost per hour ($)</t>
  </si>
  <si>
    <t>CPU</t>
  </si>
  <si>
    <t>Memory</t>
  </si>
  <si>
    <t>HDD</t>
  </si>
  <si>
    <t>Rack</t>
  </si>
  <si>
    <t>Device</t>
  </si>
  <si>
    <t>Network Switch</t>
  </si>
  <si>
    <t>System Admin</t>
  </si>
  <si>
    <t>System Power</t>
  </si>
  <si>
    <t>Cooling Power</t>
  </si>
  <si>
    <t>GFLOPS</t>
  </si>
  <si>
    <t>ECU</t>
  </si>
  <si>
    <t>64GB</t>
  </si>
  <si>
    <t>http://www.newegg.com/Product/Product.aspx?Item=9SIA4MR1H36517</t>
  </si>
  <si>
    <t>Methorboard</t>
  </si>
  <si>
    <t>http://www.newegg.com/Product/Product.aspx?Item=9SIA1EA1WH7026</t>
  </si>
  <si>
    <t>http://www.newegg.com/Product/Product.aspx?Item=N82E16820239947</t>
  </si>
  <si>
    <t>http://www.newegg.com/Product/Product.aspx?Item=N82E16822178264&amp;ignorebbr=1&amp;cm_re=ppssEnterpriseHDD-_-22-178-264-_-Product</t>
  </si>
  <si>
    <t>Colling Power</t>
  </si>
  <si>
    <t>Link</t>
  </si>
  <si>
    <t>Core</t>
  </si>
  <si>
    <t>POWER</t>
  </si>
  <si>
    <t>http://www.newegg.com/Product/Product.aspx?Item=N82E16811152095</t>
  </si>
  <si>
    <t>700W</t>
  </si>
  <si>
    <t>Chasis(PuwerSupplyIncluded)</t>
  </si>
  <si>
    <t>Price</t>
  </si>
  <si>
    <t>http://www.newegg.com/Product/Product.aspx?Item=N82E16813128644</t>
  </si>
  <si>
    <t>http://www.newegg.com/Product/Product.aspx?Item=N82E16820239930</t>
  </si>
  <si>
    <t>24GB</t>
  </si>
  <si>
    <t>http://www.newegg.com/Product/Product.aspx?Item=9SIA3ER1824608</t>
  </si>
  <si>
    <t>300GB</t>
  </si>
  <si>
    <t>Total 5 Years Price</t>
  </si>
  <si>
    <t>Instances</t>
  </si>
  <si>
    <t>Instance/hour cost</t>
  </si>
  <si>
    <t>Cost per hour</t>
  </si>
  <si>
    <t>Machines</t>
  </si>
  <si>
    <t>Final Machines</t>
  </si>
  <si>
    <t>http://www.newegg.com/Product/Product.aspx?Item=N82E16816228081</t>
  </si>
  <si>
    <t>http://www.newegg.com/Product/Product.aspx?Item=N82E16819116929</t>
  </si>
  <si>
    <t>http://www.newegg.com/Product/Product.aspx?Item=N82E16820239883</t>
  </si>
  <si>
    <t>38GB</t>
  </si>
  <si>
    <t>http://www.newegg.com/Product/Product.aspx?Item=N82E16820167139</t>
  </si>
  <si>
    <t>100GB</t>
  </si>
  <si>
    <t>http://www.superbiiz.com/detail.php?name=E52695V3BX&amp;c=FR&amp;pid=149c94237cca59e440bd891398bd1a8f0336eb1295d85f33323e7fb6088ff947&amp;gclid=CIaTs_iclcICFeE-MgodDBoAsw</t>
  </si>
  <si>
    <t>320GB*2</t>
  </si>
  <si>
    <t>http://www.newegg.com/Product/Product.aspx?Item=N82E16813182927</t>
  </si>
  <si>
    <t>128GB*2</t>
  </si>
  <si>
    <t>http://www.newegg.com/Product/Product.aspx?Item=9SIA24G1S91127</t>
  </si>
  <si>
    <t>800GB*8</t>
  </si>
  <si>
    <t>GPU</t>
  </si>
  <si>
    <t>4GB</t>
  </si>
  <si>
    <t>http://www.newegg.com/Product/Product.aspx?Item=N82E16820148906</t>
  </si>
  <si>
    <t>96GB*3(for 19 instances)</t>
  </si>
  <si>
    <t>600GB*2</t>
  </si>
  <si>
    <t>http://www.newegg.com/Product/Product.aspx?Item=N82E16820167156</t>
  </si>
  <si>
    <t>122W</t>
  </si>
  <si>
    <t>128GB*3</t>
  </si>
  <si>
    <t>2048*24</t>
  </si>
  <si>
    <t>pt2.small</t>
  </si>
  <si>
    <t>pm3.large</t>
  </si>
  <si>
    <t>pc3.8xlarge</t>
  </si>
  <si>
    <t>pg2.2xlarge</t>
  </si>
  <si>
    <t>pr3.4xlarge</t>
  </si>
  <si>
    <t>pi2.8xlarge</t>
  </si>
  <si>
    <t>phs1.8xlarge</t>
  </si>
  <si>
    <t>Single Precision</t>
  </si>
  <si>
    <t>http://www.newegg.com/Product/Product.aspx?Item=N82E16814133468</t>
  </si>
  <si>
    <t>http://www.newegg.com/Product/Product.aspx?Item=N82E16820148904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</si>
</sst>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164" fontId="2" fillId="0" borderId="0" xfId="0" applyNumberFormat="1" applyFont="1"/>
    <xf numFmtId="0" fontId="5" fillId="0" borderId="0" xfId="0" applyFont="1"/>
    <xf numFmtId="0" fontId="0" fillId="2" borderId="0" xfId="0" applyFill="1"/>
  </cellXfs>
  <cellStyles count="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Comprision: Public Instances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t2.small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0.00590909090909091</c:v>
                </c:pt>
                <c:pt idx="1">
                  <c:v>0.00590909090909091</c:v>
                </c:pt>
                <c:pt idx="2">
                  <c:v>0.00590909090909091</c:v>
                </c:pt>
                <c:pt idx="3">
                  <c:v>0.00590909090909091</c:v>
                </c:pt>
                <c:pt idx="4">
                  <c:v>0.00590909090909091</c:v>
                </c:pt>
                <c:pt idx="5">
                  <c:v>0.00590909090909091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m3.large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Sheet1!$B$20:$H$20</c:f>
              <c:numCache>
                <c:formatCode>General</c:formatCode>
                <c:ptCount val="7"/>
                <c:pt idx="0">
                  <c:v>0.00489510489510489</c:v>
                </c:pt>
                <c:pt idx="1">
                  <c:v>0.00489510489510489</c:v>
                </c:pt>
                <c:pt idx="2">
                  <c:v>0.00489510489510489</c:v>
                </c:pt>
                <c:pt idx="3">
                  <c:v>0.00489510489510489</c:v>
                </c:pt>
                <c:pt idx="4">
                  <c:v>0.00489510489510489</c:v>
                </c:pt>
                <c:pt idx="5">
                  <c:v>0.00489510489510489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c3.8xlarge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Sheet1!$B$21:$H$21</c:f>
              <c:numCache>
                <c:formatCode>General</c:formatCode>
                <c:ptCount val="7"/>
                <c:pt idx="0">
                  <c:v>0.00353535353535353</c:v>
                </c:pt>
                <c:pt idx="1">
                  <c:v>0.00353535353535353</c:v>
                </c:pt>
                <c:pt idx="2">
                  <c:v>0.00353535353535353</c:v>
                </c:pt>
                <c:pt idx="3">
                  <c:v>0.00353535353535353</c:v>
                </c:pt>
                <c:pt idx="4">
                  <c:v>0.00353535353535353</c:v>
                </c:pt>
                <c:pt idx="5">
                  <c:v>0.00353535353535353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g2.2xlarge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Sheet1!$B$22:$H$22</c:f>
              <c:numCache>
                <c:formatCode>General</c:formatCode>
                <c:ptCount val="7"/>
                <c:pt idx="0">
                  <c:v>0.00568181818181818</c:v>
                </c:pt>
                <c:pt idx="1">
                  <c:v>0.00568181818181818</c:v>
                </c:pt>
                <c:pt idx="2">
                  <c:v>0.00568181818181818</c:v>
                </c:pt>
                <c:pt idx="3">
                  <c:v>0.00568181818181818</c:v>
                </c:pt>
                <c:pt idx="4">
                  <c:v>0.00568181818181818</c:v>
                </c:pt>
                <c:pt idx="5">
                  <c:v>0.00568181818181818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r3.4xlrge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Sheet1!$B$23:$H$23</c:f>
              <c:numCache>
                <c:formatCode>General</c:formatCode>
                <c:ptCount val="7"/>
                <c:pt idx="0">
                  <c:v>0.00611888111888112</c:v>
                </c:pt>
                <c:pt idx="1">
                  <c:v>0.00611888111888112</c:v>
                </c:pt>
                <c:pt idx="2">
                  <c:v>0.00611888111888112</c:v>
                </c:pt>
                <c:pt idx="3">
                  <c:v>0.00611888111888112</c:v>
                </c:pt>
                <c:pt idx="4">
                  <c:v>0.00611888111888112</c:v>
                </c:pt>
                <c:pt idx="5">
                  <c:v>0.00611888111888112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i2.8xlarge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0.0149038461538461</c:v>
                </c:pt>
                <c:pt idx="1">
                  <c:v>0.0149038461538461</c:v>
                </c:pt>
                <c:pt idx="2">
                  <c:v>0.0149038461538461</c:v>
                </c:pt>
                <c:pt idx="3">
                  <c:v>0.0149038461538461</c:v>
                </c:pt>
                <c:pt idx="4">
                  <c:v>0.0149038461538461</c:v>
                </c:pt>
                <c:pt idx="5">
                  <c:v>0.0149038461538461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hs1.8xlarge</c:v>
                </c:pt>
              </c:strCache>
            </c:strRef>
          </c:tx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Sheet1!$B$25:$H$25</c:f>
              <c:numCache>
                <c:formatCode>General</c:formatCode>
                <c:ptCount val="7"/>
                <c:pt idx="0">
                  <c:v>0.0298701298701299</c:v>
                </c:pt>
                <c:pt idx="1">
                  <c:v>0.0298701298701299</c:v>
                </c:pt>
                <c:pt idx="2">
                  <c:v>0.0298701298701299</c:v>
                </c:pt>
                <c:pt idx="3">
                  <c:v>0.0298701298701299</c:v>
                </c:pt>
                <c:pt idx="4">
                  <c:v>0.0298701298701299</c:v>
                </c:pt>
                <c:pt idx="5">
                  <c:v>0.0298701298701299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87464"/>
        <c:axId val="-2104351688"/>
      </c:lineChart>
      <c:catAx>
        <c:axId val="-210318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4351688"/>
        <c:crosses val="autoZero"/>
        <c:auto val="1"/>
        <c:lblAlgn val="ctr"/>
        <c:lblOffset val="100"/>
        <c:noMultiLvlLbl val="0"/>
      </c:catAx>
      <c:valAx>
        <c:axId val="-21043516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GFLOPS/Hour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18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  <a:r>
              <a:rPr lang="en-US" baseline="0"/>
              <a:t> Comparision: Private Cloud Vs. Public Cloud(Amazon EC2)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per Instance'!$A$3</c:f>
              <c:strCache>
                <c:ptCount val="1"/>
                <c:pt idx="0">
                  <c:v>pt2.small</c:v>
                </c:pt>
              </c:strCache>
            </c:strRef>
          </c:tx>
          <c:spPr>
            <a:ln cap="sq">
              <a:solidFill>
                <a:schemeClr val="accent6">
                  <a:lumMod val="75000"/>
                </a:schemeClr>
              </a:solidFill>
              <a:prstDash val="sysDot"/>
              <a:bevel/>
            </a:ln>
          </c:spPr>
          <c:marker>
            <c:symbol val="plus"/>
            <c:size val="7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Instance'!$B$3:$H$3</c:f>
              <c:numCache>
                <c:formatCode>General</c:formatCode>
                <c:ptCount val="7"/>
                <c:pt idx="0">
                  <c:v>13.92527200913242</c:v>
                </c:pt>
                <c:pt idx="1">
                  <c:v>13.92527200913242</c:v>
                </c:pt>
                <c:pt idx="2">
                  <c:v>13.92527200913242</c:v>
                </c:pt>
                <c:pt idx="3">
                  <c:v>0.0669890712690845</c:v>
                </c:pt>
                <c:pt idx="4">
                  <c:v>0.0125437668821146</c:v>
                </c:pt>
                <c:pt idx="5">
                  <c:v>0.00711518072463445</c:v>
                </c:pt>
                <c:pt idx="6">
                  <c:v>0.00657265062152308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'Cost per Instance'!$A$4</c:f>
              <c:strCache>
                <c:ptCount val="1"/>
                <c:pt idx="0">
                  <c:v>pm3.large</c:v>
                </c:pt>
              </c:strCache>
            </c:strRef>
          </c:tx>
          <c:spPr>
            <a:ln cap="flat">
              <a:solidFill>
                <a:schemeClr val="accent4">
                  <a:lumMod val="75000"/>
                </a:schemeClr>
              </a:solidFill>
              <a:prstDash val="sysDash"/>
              <a:bevel/>
            </a:ln>
          </c:spPr>
          <c:marker>
            <c:symbol val="circle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Instance'!$B$4:$H$4</c:f>
              <c:numCache>
                <c:formatCode>General</c:formatCode>
                <c:ptCount val="7"/>
                <c:pt idx="0">
                  <c:v>13.9152491780822</c:v>
                </c:pt>
                <c:pt idx="1">
                  <c:v>13.9152491780822</c:v>
                </c:pt>
                <c:pt idx="2">
                  <c:v>13.9152491780822</c:v>
                </c:pt>
                <c:pt idx="3">
                  <c:v>0.44430267257588</c:v>
                </c:pt>
                <c:pt idx="4">
                  <c:v>0.0787884104617236</c:v>
                </c:pt>
                <c:pt idx="5">
                  <c:v>0.0433878378943189</c:v>
                </c:pt>
                <c:pt idx="6">
                  <c:v>0.0398556025040043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'Cost per Instance'!$A$5</c:f>
              <c:strCache>
                <c:ptCount val="1"/>
                <c:pt idx="0">
                  <c:v>pc3.8xlarge</c:v>
                </c:pt>
              </c:strCache>
            </c:strRef>
          </c:tx>
          <c:spPr>
            <a:ln>
              <a:prstDash val="sysDash"/>
            </a:ln>
          </c:spPr>
          <c:marker>
            <c:symbol val="star"/>
            <c:size val="7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Instance'!$B$5:$H$5</c:f>
              <c:numCache>
                <c:formatCode>General</c:formatCode>
                <c:ptCount val="7"/>
                <c:pt idx="0">
                  <c:v>14.00444808219178</c:v>
                </c:pt>
                <c:pt idx="1">
                  <c:v>14.00444808219178</c:v>
                </c:pt>
                <c:pt idx="2">
                  <c:v>14.00444808219178</c:v>
                </c:pt>
                <c:pt idx="3">
                  <c:v>7.096104246575344</c:v>
                </c:pt>
                <c:pt idx="4">
                  <c:v>0.880396086105675</c:v>
                </c:pt>
                <c:pt idx="5">
                  <c:v>0.287775367471189</c:v>
                </c:pt>
                <c:pt idx="6">
                  <c:v>0.227423821683421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'Cost per Instance'!$A$6</c:f>
              <c:strCache>
                <c:ptCount val="1"/>
                <c:pt idx="0">
                  <c:v>pg2.2xlarge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</c:spPr>
          <c:marker>
            <c:symbol val="squar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Instance'!$B$6:$H$6</c:f>
              <c:numCache>
                <c:formatCode>General</c:formatCode>
                <c:ptCount val="7"/>
                <c:pt idx="0">
                  <c:v>14.10204514155251</c:v>
                </c:pt>
                <c:pt idx="1">
                  <c:v>14.10204514155251</c:v>
                </c:pt>
                <c:pt idx="2">
                  <c:v>14.10204514155251</c:v>
                </c:pt>
                <c:pt idx="3">
                  <c:v>14.10204514155251</c:v>
                </c:pt>
                <c:pt idx="4">
                  <c:v>0.255470301264893</c:v>
                </c:pt>
                <c:pt idx="5">
                  <c:v>0.111985500036571</c:v>
                </c:pt>
                <c:pt idx="6">
                  <c:v>0.0977285397530872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'Cost per Instance'!$A$7</c:f>
              <c:strCache>
                <c:ptCount val="1"/>
                <c:pt idx="0">
                  <c:v>pr3.4xlarge</c:v>
                </c:pt>
              </c:strCache>
            </c:strRef>
          </c:tx>
          <c:spPr>
            <a:ln cap="flat">
              <a:solidFill>
                <a:schemeClr val="accent2">
                  <a:lumMod val="75000"/>
                </a:schemeClr>
              </a:solidFill>
              <a:prstDash val="sysDot"/>
              <a:miter lim="800000"/>
            </a:ln>
          </c:spPr>
          <c:marker>
            <c:symbol val="triangle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Instance'!$B$7:$H$7</c:f>
              <c:numCache>
                <c:formatCode>General</c:formatCode>
                <c:ptCount val="7"/>
                <c:pt idx="0">
                  <c:v>14.08472205479452</c:v>
                </c:pt>
                <c:pt idx="1">
                  <c:v>14.08472205479452</c:v>
                </c:pt>
                <c:pt idx="2">
                  <c:v>14.08472205479452</c:v>
                </c:pt>
                <c:pt idx="3">
                  <c:v>3.603463082191781</c:v>
                </c:pt>
                <c:pt idx="4">
                  <c:v>0.481505957311246</c:v>
                </c:pt>
                <c:pt idx="5">
                  <c:v>0.187741650209502</c:v>
                </c:pt>
                <c:pt idx="6">
                  <c:v>0.158745053822764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'Cost per Instance'!$A$8</c:f>
              <c:strCache>
                <c:ptCount val="1"/>
                <c:pt idx="0">
                  <c:v>pi2.8xlarge</c:v>
                </c:pt>
              </c:strCache>
            </c:strRef>
          </c:tx>
          <c:spPr>
            <a:ln cap="sq"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x"/>
            <c:size val="7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Instance'!$B$8:$H$8</c:f>
              <c:numCache>
                <c:formatCode>General</c:formatCode>
                <c:ptCount val="7"/>
                <c:pt idx="0">
                  <c:v>14.17431109589041</c:v>
                </c:pt>
                <c:pt idx="1">
                  <c:v>14.17431109589041</c:v>
                </c:pt>
                <c:pt idx="2">
                  <c:v>14.17431109589041</c:v>
                </c:pt>
                <c:pt idx="3">
                  <c:v>7.296469543378996</c:v>
                </c:pt>
                <c:pt idx="4">
                  <c:v>1.07122017829963</c:v>
                </c:pt>
                <c:pt idx="5">
                  <c:v>0.456440642411294</c:v>
                </c:pt>
                <c:pt idx="6">
                  <c:v>0.397075115430028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'Cost per Instance'!$A$9</c:f>
              <c:strCache>
                <c:ptCount val="1"/>
                <c:pt idx="0">
                  <c:v>phs1.8xlarge</c:v>
                </c:pt>
              </c:strCache>
            </c:strRef>
          </c:tx>
          <c:spPr>
            <a:ln cap="rnd">
              <a:prstDash val="dash"/>
            </a:ln>
          </c:spPr>
          <c:marker>
            <c:symbol val="diamond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Instance'!$B$9:$H$9</c:f>
              <c:numCache>
                <c:formatCode>General</c:formatCode>
                <c:ptCount val="7"/>
                <c:pt idx="0">
                  <c:v>14.15138872146119</c:v>
                </c:pt>
                <c:pt idx="1">
                  <c:v>14.15138872146119</c:v>
                </c:pt>
                <c:pt idx="2">
                  <c:v>14.15138872146119</c:v>
                </c:pt>
                <c:pt idx="3">
                  <c:v>2.431661841704719</c:v>
                </c:pt>
                <c:pt idx="4">
                  <c:v>0.351030365296804</c:v>
                </c:pt>
                <c:pt idx="5">
                  <c:v>0.152873153288164</c:v>
                </c:pt>
                <c:pt idx="6">
                  <c:v>0.133178371129569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'Cost per Instance'!$A$10</c:f>
              <c:strCache>
                <c:ptCount val="1"/>
                <c:pt idx="0">
                  <c:v>t2.small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7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Instance'!$B$10:$H$10</c:f>
              <c:numCache>
                <c:formatCode>General</c:formatCode>
                <c:ptCount val="7"/>
                <c:pt idx="0">
                  <c:v>0.026</c:v>
                </c:pt>
                <c:pt idx="1">
                  <c:v>0.026</c:v>
                </c:pt>
                <c:pt idx="2">
                  <c:v>0.026</c:v>
                </c:pt>
                <c:pt idx="3">
                  <c:v>0.026</c:v>
                </c:pt>
                <c:pt idx="4">
                  <c:v>0.026</c:v>
                </c:pt>
                <c:pt idx="5">
                  <c:v>0.026</c:v>
                </c:pt>
                <c:pt idx="6">
                  <c:v>0.026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'Cost per Instance'!$A$11</c:f>
              <c:strCache>
                <c:ptCount val="1"/>
                <c:pt idx="0">
                  <c:v>m3.large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7"/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Instance'!$B$11:$H$11</c:f>
              <c:numCache>
                <c:formatCode>General</c:formatCode>
                <c:ptCount val="7"/>
                <c:pt idx="0">
                  <c:v>0.14</c:v>
                </c:pt>
                <c:pt idx="1">
                  <c:v>0.14</c:v>
                </c:pt>
                <c:pt idx="2">
                  <c:v>0.14</c:v>
                </c:pt>
                <c:pt idx="3">
                  <c:v>0.14</c:v>
                </c:pt>
                <c:pt idx="4">
                  <c:v>0.14</c:v>
                </c:pt>
                <c:pt idx="5">
                  <c:v>0.14</c:v>
                </c:pt>
                <c:pt idx="6">
                  <c:v>0.14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'Cost per Instance'!$A$12</c:f>
              <c:strCache>
                <c:ptCount val="1"/>
                <c:pt idx="0">
                  <c:v>c3.8xlarge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tar"/>
            <c:size val="7"/>
            <c:spPr>
              <a:noFill/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Instance'!$B$12:$H$12</c:f>
              <c:numCache>
                <c:formatCode>General</c:formatCode>
                <c:ptCount val="7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'Cost per Instance'!$A$13</c:f>
              <c:strCache>
                <c:ptCount val="1"/>
                <c:pt idx="0">
                  <c:v>g2.2xlarge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Instance'!$B$13:$H$13</c:f>
              <c:numCache>
                <c:formatCode>General</c:formatCode>
                <c:ptCount val="7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'Cost per Instance'!$A$14</c:f>
              <c:strCache>
                <c:ptCount val="1"/>
                <c:pt idx="0">
                  <c:v>r3.4xlrge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Instance'!$B$14:$H$14</c:f>
              <c:numCache>
                <c:formatCode>General</c:formatCode>
                <c:ptCount val="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'Cost per Instance'!$A$15</c:f>
              <c:strCache>
                <c:ptCount val="1"/>
                <c:pt idx="0">
                  <c:v>i2.8xlarge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Instance'!$B$15:$H$15</c:f>
              <c:numCache>
                <c:formatCode>General</c:formatCode>
                <c:ptCount val="7"/>
                <c:pt idx="0">
                  <c:v>6.82</c:v>
                </c:pt>
                <c:pt idx="1">
                  <c:v>6.82</c:v>
                </c:pt>
                <c:pt idx="2">
                  <c:v>6.82</c:v>
                </c:pt>
                <c:pt idx="3">
                  <c:v>6.82</c:v>
                </c:pt>
                <c:pt idx="4">
                  <c:v>6.82</c:v>
                </c:pt>
                <c:pt idx="5">
                  <c:v>6.82</c:v>
                </c:pt>
                <c:pt idx="6">
                  <c:v>6.82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'Cost per Instance'!$A$16</c:f>
              <c:strCache>
                <c:ptCount val="1"/>
                <c:pt idx="0">
                  <c:v>hs1.8xlarge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x"/>
            <c:size val="7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'Cost per Instance'!$B$2:$H$2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Instance'!$B$16:$H$16</c:f>
              <c:numCache>
                <c:formatCode>General</c:formatCode>
                <c:ptCount val="7"/>
                <c:pt idx="0">
                  <c:v>4.6</c:v>
                </c:pt>
                <c:pt idx="1">
                  <c:v>4.6</c:v>
                </c:pt>
                <c:pt idx="2">
                  <c:v>4.6</c:v>
                </c:pt>
                <c:pt idx="3">
                  <c:v>4.6</c:v>
                </c:pt>
                <c:pt idx="4">
                  <c:v>4.6</c:v>
                </c:pt>
                <c:pt idx="5">
                  <c:v>4.6</c:v>
                </c:pt>
                <c:pt idx="6">
                  <c:v>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89096"/>
        <c:axId val="2078942408"/>
      </c:lineChart>
      <c:catAx>
        <c:axId val="-212328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942408"/>
        <c:crossesAt val="0.001"/>
        <c:auto val="1"/>
        <c:lblAlgn val="ctr"/>
        <c:lblOffset val="100"/>
        <c:noMultiLvlLbl val="0"/>
      </c:catAx>
      <c:valAx>
        <c:axId val="207894240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 per Instance per  hour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28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comparision: Private Cloud Vs. Public Cloud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per GFLOPS'!$A$2</c:f>
              <c:strCache>
                <c:ptCount val="1"/>
                <c:pt idx="0">
                  <c:v>pt2.small</c:v>
                </c:pt>
              </c:strCache>
            </c:strRef>
          </c:tx>
          <c:spPr>
            <a:ln>
              <a:prstDash val="sysDot"/>
            </a:ln>
          </c:spPr>
          <c:marker>
            <c:symbol val="square"/>
            <c:size val="7"/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GFLOPS'!$B$2:$H$2</c:f>
              <c:numCache>
                <c:formatCode>General</c:formatCode>
                <c:ptCount val="7"/>
                <c:pt idx="0">
                  <c:v>3.164834547727272</c:v>
                </c:pt>
                <c:pt idx="1">
                  <c:v>3.164834547727272</c:v>
                </c:pt>
                <c:pt idx="2">
                  <c:v>3.164834547727272</c:v>
                </c:pt>
                <c:pt idx="3">
                  <c:v>0.0152247889247919</c:v>
                </c:pt>
                <c:pt idx="4">
                  <c:v>0.0028508561095715</c:v>
                </c:pt>
                <c:pt idx="5">
                  <c:v>0.00161708652832601</c:v>
                </c:pt>
                <c:pt idx="6">
                  <c:v>0.00149378423216434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'Cost per GFLOPS'!$A$3</c:f>
              <c:strCache>
                <c:ptCount val="1"/>
                <c:pt idx="0">
                  <c:v>pm3.large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GFLOPS'!$B$3:$H$3</c:f>
              <c:numCache>
                <c:formatCode>General</c:formatCode>
                <c:ptCount val="7"/>
                <c:pt idx="0">
                  <c:v>0.486547174125874</c:v>
                </c:pt>
                <c:pt idx="1">
                  <c:v>0.486547174125874</c:v>
                </c:pt>
                <c:pt idx="2">
                  <c:v>0.486547174125874</c:v>
                </c:pt>
                <c:pt idx="3">
                  <c:v>0.0155350584816741</c:v>
                </c:pt>
                <c:pt idx="4">
                  <c:v>0.00275483952663369</c:v>
                </c:pt>
                <c:pt idx="5">
                  <c:v>0.00151705726903213</c:v>
                </c:pt>
                <c:pt idx="6">
                  <c:v>0.00139355253510505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'Cost per GFLOPS'!$A$4</c:f>
              <c:strCache>
                <c:ptCount val="1"/>
                <c:pt idx="0">
                  <c:v>pc3.8xlarge</c:v>
                </c:pt>
              </c:strCache>
            </c:strRef>
          </c:tx>
          <c:spPr>
            <a:ln>
              <a:prstDash val="dashDot"/>
            </a:ln>
          </c:spPr>
          <c:marker>
            <c:symbol val="plus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GFLOPS'!$B$4:$H$4</c:f>
              <c:numCache>
                <c:formatCode>General</c:formatCode>
                <c:ptCount val="7"/>
                <c:pt idx="0">
                  <c:v>0.0294706398989899</c:v>
                </c:pt>
                <c:pt idx="1">
                  <c:v>0.0294706398989899</c:v>
                </c:pt>
                <c:pt idx="2">
                  <c:v>0.0294706398989899</c:v>
                </c:pt>
                <c:pt idx="3">
                  <c:v>0.0149328793067663</c:v>
                </c:pt>
                <c:pt idx="4">
                  <c:v>0.001852685366384</c:v>
                </c:pt>
                <c:pt idx="5">
                  <c:v>0.000605587894510078</c:v>
                </c:pt>
                <c:pt idx="6">
                  <c:v>0.000478585483340532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'Cost per GFLOPS'!$A$5</c:f>
              <c:strCache>
                <c:ptCount val="1"/>
                <c:pt idx="0">
                  <c:v>pg2.2xlarge</c:v>
                </c:pt>
              </c:strCache>
            </c:strRef>
          </c:tx>
          <c:spPr>
            <a:ln>
              <a:prstDash val="dash"/>
            </a:ln>
          </c:spPr>
          <c:marker>
            <c:symbol val="triangle"/>
            <c:size val="7"/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GFLOPS'!$B$5:$H$5</c:f>
              <c:numCache>
                <c:formatCode>General</c:formatCode>
                <c:ptCount val="7"/>
                <c:pt idx="0">
                  <c:v>0.12326962534965</c:v>
                </c:pt>
                <c:pt idx="1">
                  <c:v>0.12326962534965</c:v>
                </c:pt>
                <c:pt idx="2">
                  <c:v>0.12326962534965</c:v>
                </c:pt>
                <c:pt idx="3">
                  <c:v>0.12326962534965</c:v>
                </c:pt>
                <c:pt idx="4">
                  <c:v>0.00223313200406375</c:v>
                </c:pt>
                <c:pt idx="5">
                  <c:v>0.000978894231088907</c:v>
                </c:pt>
                <c:pt idx="6">
                  <c:v>0.000854270452387126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'Cost per GFLOPS'!$A$6</c:f>
              <c:strCache>
                <c:ptCount val="1"/>
                <c:pt idx="0">
                  <c:v>pr3.4xlarge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  <a:prstDash val="sysDash"/>
            </a:ln>
          </c:spPr>
          <c:marker>
            <c:symbol val="star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GFLOPS'!$B$6:$H$6</c:f>
              <c:numCache>
                <c:formatCode>General</c:formatCode>
                <c:ptCount val="7"/>
                <c:pt idx="0">
                  <c:v>0.0615590998688811</c:v>
                </c:pt>
                <c:pt idx="1">
                  <c:v>0.0615590998688811</c:v>
                </c:pt>
                <c:pt idx="2">
                  <c:v>0.0615590998688811</c:v>
                </c:pt>
                <c:pt idx="3">
                  <c:v>0.015749401583006</c:v>
                </c:pt>
                <c:pt idx="4">
                  <c:v>0.00210448407915754</c:v>
                </c:pt>
                <c:pt idx="5">
                  <c:v>0.000820549170496075</c:v>
                </c:pt>
                <c:pt idx="6">
                  <c:v>0.000693815794679912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'Cost per GFLOPS'!$A$7</c:f>
              <c:strCache>
                <c:ptCount val="1"/>
                <c:pt idx="0">
                  <c:v>pi2.8xlarge</c:v>
                </c:pt>
              </c:strCache>
            </c:strRef>
          </c:tx>
          <c:spPr>
            <a:ln>
              <a:prstDash val="dash"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prstDash val="dash"/>
              </a:ln>
            </c:spPr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GFLOPS'!$B$7:$H$7</c:f>
              <c:numCache>
                <c:formatCode>General</c:formatCode>
                <c:ptCount val="7"/>
                <c:pt idx="0">
                  <c:v>0.0309753302010489</c:v>
                </c:pt>
                <c:pt idx="1">
                  <c:v>0.0309753302010489</c:v>
                </c:pt>
                <c:pt idx="2">
                  <c:v>0.0309753302010489</c:v>
                </c:pt>
                <c:pt idx="3">
                  <c:v>0.0159450820440975</c:v>
                </c:pt>
                <c:pt idx="4">
                  <c:v>0.0023409531868436</c:v>
                </c:pt>
                <c:pt idx="5">
                  <c:v>0.000997466438835869</c:v>
                </c:pt>
                <c:pt idx="6">
                  <c:v>0.000867734080922264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'Cost per GFLOPS'!$A$8</c:f>
              <c:strCache>
                <c:ptCount val="1"/>
                <c:pt idx="0">
                  <c:v>phs1.8xlarge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  <a:prstDash val="sysDot"/>
            </a:ln>
          </c:spPr>
          <c:marker>
            <c:symbol val="x"/>
            <c:size val="6"/>
            <c:spPr>
              <a:ln>
                <a:solidFill>
                  <a:schemeClr val="tx1"/>
                </a:solidFill>
              </a:ln>
            </c:spPr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GFLOPS'!$B$8:$H$8</c:f>
              <c:numCache>
                <c:formatCode>General</c:formatCode>
                <c:ptCount val="7"/>
                <c:pt idx="0">
                  <c:v>0.0918921345454545</c:v>
                </c:pt>
                <c:pt idx="1">
                  <c:v>0.0918921345454545</c:v>
                </c:pt>
                <c:pt idx="2">
                  <c:v>0.0918921345454545</c:v>
                </c:pt>
                <c:pt idx="3">
                  <c:v>0.0157900119591216</c:v>
                </c:pt>
                <c:pt idx="4">
                  <c:v>0.00227941795647275</c:v>
                </c:pt>
                <c:pt idx="5">
                  <c:v>0.000992682813559506</c:v>
                </c:pt>
                <c:pt idx="6">
                  <c:v>0.000864794617724474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'Cost per GFLOPS'!$A$9</c:f>
              <c:strCache>
                <c:ptCount val="1"/>
                <c:pt idx="0">
                  <c:v>t2.small</c:v>
                </c:pt>
              </c:strCache>
            </c:strRef>
          </c:tx>
          <c:marker>
            <c:symbol val="none"/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GFLOPS'!$B$9:$H$9</c:f>
              <c:numCache>
                <c:formatCode>General</c:formatCode>
                <c:ptCount val="7"/>
                <c:pt idx="0">
                  <c:v>0.00590909090909091</c:v>
                </c:pt>
                <c:pt idx="1">
                  <c:v>0.00590909090909091</c:v>
                </c:pt>
                <c:pt idx="2">
                  <c:v>0.00590909090909091</c:v>
                </c:pt>
                <c:pt idx="3">
                  <c:v>0.00590909090909091</c:v>
                </c:pt>
                <c:pt idx="4">
                  <c:v>0.00590909090909091</c:v>
                </c:pt>
                <c:pt idx="5">
                  <c:v>0.00590909090909091</c:v>
                </c:pt>
                <c:pt idx="6">
                  <c:v>0.00590909090909091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'Cost per GFLOPS'!$A$10</c:f>
              <c:strCache>
                <c:ptCount val="1"/>
                <c:pt idx="0">
                  <c:v>m3.large</c:v>
                </c:pt>
              </c:strCache>
            </c:strRef>
          </c:tx>
          <c:marker>
            <c:symbol val="diamond"/>
            <c:size val="7"/>
            <c:spPr>
              <a:solidFill>
                <a:schemeClr val="tx1"/>
              </a:solidFill>
            </c:spPr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GFLOPS'!$B$10:$H$10</c:f>
              <c:numCache>
                <c:formatCode>General</c:formatCode>
                <c:ptCount val="7"/>
                <c:pt idx="0">
                  <c:v>0.00489510489510489</c:v>
                </c:pt>
                <c:pt idx="1">
                  <c:v>0.00489510489510489</c:v>
                </c:pt>
                <c:pt idx="2">
                  <c:v>0.00489510489510489</c:v>
                </c:pt>
                <c:pt idx="3">
                  <c:v>0.00489510489510489</c:v>
                </c:pt>
                <c:pt idx="4">
                  <c:v>0.00489510489510489</c:v>
                </c:pt>
                <c:pt idx="5">
                  <c:v>0.00489510489510489</c:v>
                </c:pt>
                <c:pt idx="6">
                  <c:v>0.00489510489510489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'Cost per GFLOPS'!$A$11</c:f>
              <c:strCache>
                <c:ptCount val="1"/>
                <c:pt idx="0">
                  <c:v>c3.8xlarge</c:v>
                </c:pt>
              </c:strCache>
            </c:strRef>
          </c:tx>
          <c:marker>
            <c:symbol val="plus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GFLOPS'!$B$11:$H$11</c:f>
              <c:numCache>
                <c:formatCode>General</c:formatCode>
                <c:ptCount val="7"/>
                <c:pt idx="0">
                  <c:v>0.00353535353535353</c:v>
                </c:pt>
                <c:pt idx="1">
                  <c:v>0.00353535353535353</c:v>
                </c:pt>
                <c:pt idx="2">
                  <c:v>0.00353535353535353</c:v>
                </c:pt>
                <c:pt idx="3">
                  <c:v>0.00353535353535353</c:v>
                </c:pt>
                <c:pt idx="4">
                  <c:v>0.00353535353535353</c:v>
                </c:pt>
                <c:pt idx="5">
                  <c:v>0.00353535353535353</c:v>
                </c:pt>
                <c:pt idx="6">
                  <c:v>0.00353535353535353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'Cost per GFLOPS'!$A$12</c:f>
              <c:strCache>
                <c:ptCount val="1"/>
                <c:pt idx="0">
                  <c:v>g2.2xlarge</c:v>
                </c:pt>
              </c:strCache>
            </c:strRef>
          </c:tx>
          <c:marker>
            <c:symbol val="triangle"/>
            <c:size val="7"/>
            <c:spPr>
              <a:solidFill>
                <a:schemeClr val="tx1"/>
              </a:solidFill>
            </c:spPr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GFLOPS'!$B$12:$H$12</c:f>
              <c:numCache>
                <c:formatCode>General</c:formatCode>
                <c:ptCount val="7"/>
                <c:pt idx="0">
                  <c:v>0.00568181818181818</c:v>
                </c:pt>
                <c:pt idx="1">
                  <c:v>0.00568181818181818</c:v>
                </c:pt>
                <c:pt idx="2">
                  <c:v>0.00568181818181818</c:v>
                </c:pt>
                <c:pt idx="3">
                  <c:v>0.00568181818181818</c:v>
                </c:pt>
                <c:pt idx="4">
                  <c:v>0.00568181818181818</c:v>
                </c:pt>
                <c:pt idx="5">
                  <c:v>0.00568181818181818</c:v>
                </c:pt>
                <c:pt idx="6">
                  <c:v>0.00568181818181818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'Cost per GFLOPS'!$A$13</c:f>
              <c:strCache>
                <c:ptCount val="1"/>
                <c:pt idx="0">
                  <c:v>r3.4xlrge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GFLOPS'!$B$13:$H$13</c:f>
              <c:numCache>
                <c:formatCode>General</c:formatCode>
                <c:ptCount val="7"/>
                <c:pt idx="0">
                  <c:v>0.00611888111888112</c:v>
                </c:pt>
                <c:pt idx="1">
                  <c:v>0.00611888111888112</c:v>
                </c:pt>
                <c:pt idx="2">
                  <c:v>0.00611888111888112</c:v>
                </c:pt>
                <c:pt idx="3">
                  <c:v>0.00611888111888112</c:v>
                </c:pt>
                <c:pt idx="4">
                  <c:v>0.00611888111888112</c:v>
                </c:pt>
                <c:pt idx="5">
                  <c:v>0.00611888111888112</c:v>
                </c:pt>
                <c:pt idx="6">
                  <c:v>0.00611888111888112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'Cost per GFLOPS'!$A$14</c:f>
              <c:strCache>
                <c:ptCount val="1"/>
                <c:pt idx="0">
                  <c:v>i2.8xlarge</c:v>
                </c:pt>
              </c:strCache>
            </c:strRef>
          </c:tx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GFLOPS'!$B$14:$H$14</c:f>
              <c:numCache>
                <c:formatCode>General</c:formatCode>
                <c:ptCount val="7"/>
                <c:pt idx="0">
                  <c:v>0.0149038461538461</c:v>
                </c:pt>
                <c:pt idx="1">
                  <c:v>0.0149038461538461</c:v>
                </c:pt>
                <c:pt idx="2">
                  <c:v>0.0149038461538461</c:v>
                </c:pt>
                <c:pt idx="3">
                  <c:v>0.0149038461538461</c:v>
                </c:pt>
                <c:pt idx="4">
                  <c:v>0.0149038461538461</c:v>
                </c:pt>
                <c:pt idx="5">
                  <c:v>0.0149038461538461</c:v>
                </c:pt>
                <c:pt idx="6">
                  <c:v>0.0149038461538461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'Cost per GFLOPS'!$A$15</c:f>
              <c:strCache>
                <c:ptCount val="1"/>
                <c:pt idx="0">
                  <c:v>hs1.8xlarge</c:v>
                </c:pt>
              </c:strCache>
            </c:strRef>
          </c:tx>
          <c:marker>
            <c:symbol val="star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'Cost per GFLOPS'!$B$1:$H$1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'Cost per GFLOPS'!$B$15:$H$15</c:f>
              <c:numCache>
                <c:formatCode>General</c:formatCode>
                <c:ptCount val="7"/>
                <c:pt idx="0">
                  <c:v>0.0298701298701299</c:v>
                </c:pt>
                <c:pt idx="1">
                  <c:v>0.0298701298701299</c:v>
                </c:pt>
                <c:pt idx="2">
                  <c:v>0.0298701298701299</c:v>
                </c:pt>
                <c:pt idx="3">
                  <c:v>0.0298701298701299</c:v>
                </c:pt>
                <c:pt idx="4">
                  <c:v>0.0298701298701299</c:v>
                </c:pt>
                <c:pt idx="5">
                  <c:v>0.0298701298701299</c:v>
                </c:pt>
                <c:pt idx="6">
                  <c:v>0.0298701298701299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28552"/>
        <c:axId val="2129792152"/>
      </c:lineChart>
      <c:catAx>
        <c:axId val="-212712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792152"/>
        <c:crossesAt val="0.0001"/>
        <c:auto val="1"/>
        <c:lblAlgn val="ctr"/>
        <c:lblOffset val="100"/>
        <c:noMultiLvlLbl val="0"/>
      </c:catAx>
      <c:valAx>
        <c:axId val="2129792152"/>
        <c:scaling>
          <c:logBase val="5.0"/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GFLOPS/Hour($)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12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  <a:r>
              <a:rPr lang="en-US" baseline="0"/>
              <a:t> Comparision: Private Cloud Vs. Public Cloud(Amazon EC2)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Utilization!$A$3</c:f>
              <c:strCache>
                <c:ptCount val="1"/>
                <c:pt idx="0">
                  <c:v>pt2.small</c:v>
                </c:pt>
              </c:strCache>
            </c:strRef>
          </c:tx>
          <c:spPr>
            <a:ln cap="sq">
              <a:solidFill>
                <a:schemeClr val="accent6">
                  <a:lumMod val="75000"/>
                </a:schemeClr>
              </a:solidFill>
              <a:prstDash val="sysDot"/>
              <a:bevel/>
            </a:ln>
          </c:spPr>
          <c:marker>
            <c:symbol val="plus"/>
            <c:size val="7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Utilization!$B$3:$H$3</c:f>
              <c:numCache>
                <c:formatCode>General</c:formatCode>
                <c:ptCount val="7"/>
                <c:pt idx="0">
                  <c:v>13.92527200913242</c:v>
                </c:pt>
                <c:pt idx="1">
                  <c:v>13.92527200913242</c:v>
                </c:pt>
                <c:pt idx="2">
                  <c:v>13.92527200913242</c:v>
                </c:pt>
                <c:pt idx="3">
                  <c:v>0.0669890712690845</c:v>
                </c:pt>
                <c:pt idx="4">
                  <c:v>0.0125437668821146</c:v>
                </c:pt>
                <c:pt idx="5">
                  <c:v>0.00711518072463445</c:v>
                </c:pt>
                <c:pt idx="6">
                  <c:v>0.00657265062152308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Utilization!$A$4</c:f>
              <c:strCache>
                <c:ptCount val="1"/>
                <c:pt idx="0">
                  <c:v>pm3.large</c:v>
                </c:pt>
              </c:strCache>
            </c:strRef>
          </c:tx>
          <c:spPr>
            <a:ln cap="flat">
              <a:solidFill>
                <a:schemeClr val="accent4">
                  <a:lumMod val="75000"/>
                </a:schemeClr>
              </a:solidFill>
              <a:prstDash val="sysDash"/>
              <a:bevel/>
            </a:ln>
          </c:spPr>
          <c:marker>
            <c:symbol val="circle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Utilization!$B$4:$H$4</c:f>
              <c:numCache>
                <c:formatCode>General</c:formatCode>
                <c:ptCount val="7"/>
                <c:pt idx="0">
                  <c:v>13.9152491780822</c:v>
                </c:pt>
                <c:pt idx="1">
                  <c:v>13.9152491780822</c:v>
                </c:pt>
                <c:pt idx="2">
                  <c:v>13.9152491780822</c:v>
                </c:pt>
                <c:pt idx="3">
                  <c:v>0.44430267257588</c:v>
                </c:pt>
                <c:pt idx="4">
                  <c:v>0.0787884104617236</c:v>
                </c:pt>
                <c:pt idx="5">
                  <c:v>0.0433878378943189</c:v>
                </c:pt>
                <c:pt idx="6">
                  <c:v>0.0398556025040043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Utilization!$A$5</c:f>
              <c:strCache>
                <c:ptCount val="1"/>
                <c:pt idx="0">
                  <c:v>pc3.8xlarge</c:v>
                </c:pt>
              </c:strCache>
            </c:strRef>
          </c:tx>
          <c:spPr>
            <a:ln>
              <a:prstDash val="sysDash"/>
            </a:ln>
          </c:spPr>
          <c:marker>
            <c:symbol val="star"/>
            <c:size val="7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Utilization!$B$5:$H$5</c:f>
              <c:numCache>
                <c:formatCode>General</c:formatCode>
                <c:ptCount val="7"/>
                <c:pt idx="0">
                  <c:v>14.00444808219178</c:v>
                </c:pt>
                <c:pt idx="1">
                  <c:v>14.00444808219178</c:v>
                </c:pt>
                <c:pt idx="2">
                  <c:v>14.00444808219178</c:v>
                </c:pt>
                <c:pt idx="3">
                  <c:v>7.096104246575344</c:v>
                </c:pt>
                <c:pt idx="4">
                  <c:v>0.880396086105675</c:v>
                </c:pt>
                <c:pt idx="5">
                  <c:v>0.287775367471189</c:v>
                </c:pt>
                <c:pt idx="6">
                  <c:v>0.227423821683421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Utilization!$A$6</c:f>
              <c:strCache>
                <c:ptCount val="1"/>
                <c:pt idx="0">
                  <c:v>pg2.2xlarge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</c:spPr>
          <c:marker>
            <c:symbol val="squar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Utilization!$B$6:$H$6</c:f>
              <c:numCache>
                <c:formatCode>General</c:formatCode>
                <c:ptCount val="7"/>
                <c:pt idx="0">
                  <c:v>14.10204514155251</c:v>
                </c:pt>
                <c:pt idx="1">
                  <c:v>14.10204514155251</c:v>
                </c:pt>
                <c:pt idx="2">
                  <c:v>14.10204514155251</c:v>
                </c:pt>
                <c:pt idx="3">
                  <c:v>14.10204514155251</c:v>
                </c:pt>
                <c:pt idx="4">
                  <c:v>0.255470301264893</c:v>
                </c:pt>
                <c:pt idx="5">
                  <c:v>0.111985500036571</c:v>
                </c:pt>
                <c:pt idx="6">
                  <c:v>0.0977285397530872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Utilization!$A$7</c:f>
              <c:strCache>
                <c:ptCount val="1"/>
                <c:pt idx="0">
                  <c:v>pr3.4xlarge</c:v>
                </c:pt>
              </c:strCache>
            </c:strRef>
          </c:tx>
          <c:spPr>
            <a:ln cap="flat">
              <a:solidFill>
                <a:schemeClr val="accent2">
                  <a:lumMod val="75000"/>
                </a:schemeClr>
              </a:solidFill>
              <a:prstDash val="sysDot"/>
              <a:miter lim="800000"/>
            </a:ln>
          </c:spPr>
          <c:marker>
            <c:symbol val="triangle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Utilization!$B$7:$H$7</c:f>
              <c:numCache>
                <c:formatCode>General</c:formatCode>
                <c:ptCount val="7"/>
                <c:pt idx="0">
                  <c:v>14.08472205479452</c:v>
                </c:pt>
                <c:pt idx="1">
                  <c:v>14.08472205479452</c:v>
                </c:pt>
                <c:pt idx="2">
                  <c:v>14.08472205479452</c:v>
                </c:pt>
                <c:pt idx="3">
                  <c:v>3.603463082191781</c:v>
                </c:pt>
                <c:pt idx="4">
                  <c:v>0.481505957311246</c:v>
                </c:pt>
                <c:pt idx="5">
                  <c:v>0.187741650209502</c:v>
                </c:pt>
                <c:pt idx="6">
                  <c:v>0.158745053822764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Utilization!$A$8</c:f>
              <c:strCache>
                <c:ptCount val="1"/>
                <c:pt idx="0">
                  <c:v>pi2.8xlarge</c:v>
                </c:pt>
              </c:strCache>
            </c:strRef>
          </c:tx>
          <c:spPr>
            <a:ln cap="sq"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x"/>
            <c:size val="7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Utilization!$B$8:$H$8</c:f>
              <c:numCache>
                <c:formatCode>General</c:formatCode>
                <c:ptCount val="7"/>
                <c:pt idx="0">
                  <c:v>14.17431109589041</c:v>
                </c:pt>
                <c:pt idx="1">
                  <c:v>14.17431109589041</c:v>
                </c:pt>
                <c:pt idx="2">
                  <c:v>14.17431109589041</c:v>
                </c:pt>
                <c:pt idx="3">
                  <c:v>7.296469543378996</c:v>
                </c:pt>
                <c:pt idx="4">
                  <c:v>1.07122017829963</c:v>
                </c:pt>
                <c:pt idx="5">
                  <c:v>0.456440642411294</c:v>
                </c:pt>
                <c:pt idx="6">
                  <c:v>0.397075115430028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Utilization!$A$9</c:f>
              <c:strCache>
                <c:ptCount val="1"/>
                <c:pt idx="0">
                  <c:v>phs1.8xlarge</c:v>
                </c:pt>
              </c:strCache>
            </c:strRef>
          </c:tx>
          <c:spPr>
            <a:ln cap="rnd">
              <a:prstDash val="dash"/>
            </a:ln>
          </c:spPr>
          <c:marker>
            <c:symbol val="diamond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Utilization!$B$9:$H$9</c:f>
              <c:numCache>
                <c:formatCode>General</c:formatCode>
                <c:ptCount val="7"/>
                <c:pt idx="0">
                  <c:v>14.15138872146119</c:v>
                </c:pt>
                <c:pt idx="1">
                  <c:v>14.15138872146119</c:v>
                </c:pt>
                <c:pt idx="2">
                  <c:v>14.15138872146119</c:v>
                </c:pt>
                <c:pt idx="3">
                  <c:v>2.431661841704719</c:v>
                </c:pt>
                <c:pt idx="4">
                  <c:v>0.351030365296804</c:v>
                </c:pt>
                <c:pt idx="5">
                  <c:v>0.152873153288164</c:v>
                </c:pt>
                <c:pt idx="6">
                  <c:v>0.133178371129569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Utilization!$A$10</c:f>
              <c:strCache>
                <c:ptCount val="1"/>
                <c:pt idx="0">
                  <c:v>t2.small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7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Utilization!$B$10:$H$10</c:f>
              <c:numCache>
                <c:formatCode>General</c:formatCode>
                <c:ptCount val="7"/>
                <c:pt idx="0">
                  <c:v>0.026</c:v>
                </c:pt>
                <c:pt idx="1">
                  <c:v>0.026</c:v>
                </c:pt>
                <c:pt idx="2">
                  <c:v>0.026</c:v>
                </c:pt>
                <c:pt idx="3">
                  <c:v>0.026</c:v>
                </c:pt>
                <c:pt idx="4">
                  <c:v>0.026</c:v>
                </c:pt>
                <c:pt idx="5">
                  <c:v>0.026</c:v>
                </c:pt>
                <c:pt idx="6">
                  <c:v>0.026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Utilization!$A$11</c:f>
              <c:strCache>
                <c:ptCount val="1"/>
                <c:pt idx="0">
                  <c:v>m3.large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7"/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Utilization!$B$11:$H$11</c:f>
              <c:numCache>
                <c:formatCode>General</c:formatCode>
                <c:ptCount val="7"/>
                <c:pt idx="0">
                  <c:v>0.14</c:v>
                </c:pt>
                <c:pt idx="1">
                  <c:v>0.14</c:v>
                </c:pt>
                <c:pt idx="2">
                  <c:v>0.14</c:v>
                </c:pt>
                <c:pt idx="3">
                  <c:v>0.14</c:v>
                </c:pt>
                <c:pt idx="4">
                  <c:v>0.14</c:v>
                </c:pt>
                <c:pt idx="5">
                  <c:v>0.14</c:v>
                </c:pt>
                <c:pt idx="6">
                  <c:v>0.14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Utilization!$A$12</c:f>
              <c:strCache>
                <c:ptCount val="1"/>
                <c:pt idx="0">
                  <c:v>c3.8xlarge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tar"/>
            <c:size val="7"/>
            <c:spPr>
              <a:noFill/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Utilization!$B$12:$H$12</c:f>
              <c:numCache>
                <c:formatCode>General</c:formatCode>
                <c:ptCount val="7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Utilization!$A$13</c:f>
              <c:strCache>
                <c:ptCount val="1"/>
                <c:pt idx="0">
                  <c:v>g2.2xlarge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Utilization!$B$13:$H$13</c:f>
              <c:numCache>
                <c:formatCode>General</c:formatCode>
                <c:ptCount val="7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Utilization!$A$14</c:f>
              <c:strCache>
                <c:ptCount val="1"/>
                <c:pt idx="0">
                  <c:v>r3.4xlrge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Utilization!$B$14:$H$14</c:f>
              <c:numCache>
                <c:formatCode>General</c:formatCode>
                <c:ptCount val="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Utilization!$A$15</c:f>
              <c:strCache>
                <c:ptCount val="1"/>
                <c:pt idx="0">
                  <c:v>i2.8xlarge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Utilization!$B$15:$H$15</c:f>
              <c:numCache>
                <c:formatCode>General</c:formatCode>
                <c:ptCount val="7"/>
                <c:pt idx="0">
                  <c:v>6.82</c:v>
                </c:pt>
                <c:pt idx="1">
                  <c:v>6.82</c:v>
                </c:pt>
                <c:pt idx="2">
                  <c:v>6.82</c:v>
                </c:pt>
                <c:pt idx="3">
                  <c:v>6.82</c:v>
                </c:pt>
                <c:pt idx="4">
                  <c:v>6.82</c:v>
                </c:pt>
                <c:pt idx="5">
                  <c:v>6.82</c:v>
                </c:pt>
                <c:pt idx="6">
                  <c:v>6.82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Utilization!$A$16</c:f>
              <c:strCache>
                <c:ptCount val="1"/>
                <c:pt idx="0">
                  <c:v>hs1.8xlarge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x"/>
            <c:size val="7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Utilization!$B$2:$H$2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Utilization!$B$16:$H$16</c:f>
              <c:numCache>
                <c:formatCode>General</c:formatCode>
                <c:ptCount val="7"/>
                <c:pt idx="0">
                  <c:v>4.6</c:v>
                </c:pt>
                <c:pt idx="1">
                  <c:v>4.6</c:v>
                </c:pt>
                <c:pt idx="2">
                  <c:v>4.6</c:v>
                </c:pt>
                <c:pt idx="3">
                  <c:v>4.6</c:v>
                </c:pt>
                <c:pt idx="4">
                  <c:v>4.6</c:v>
                </c:pt>
                <c:pt idx="5">
                  <c:v>4.6</c:v>
                </c:pt>
                <c:pt idx="6">
                  <c:v>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77368"/>
        <c:axId val="-2106844920"/>
      </c:lineChart>
      <c:catAx>
        <c:axId val="212977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6844920"/>
        <c:crossesAt val="0.001"/>
        <c:auto val="1"/>
        <c:lblAlgn val="ctr"/>
        <c:lblOffset val="100"/>
        <c:noMultiLvlLbl val="0"/>
      </c:catAx>
      <c:valAx>
        <c:axId val="-21068449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 per Instance per  hour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77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Utilization</a:t>
            </a:r>
            <a:r>
              <a:rPr lang="en-US" baseline="0"/>
              <a:t> of Private Cloud Instances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Utilization!$A$46</c:f>
              <c:strCache>
                <c:ptCount val="1"/>
                <c:pt idx="0">
                  <c:v>pt2.small</c:v>
                </c:pt>
              </c:strCache>
            </c:strRef>
          </c:tx>
          <c:marker>
            <c:symbol val="circle"/>
            <c:size val="7"/>
          </c:marker>
          <c:cat>
            <c:numRef>
              <c:f>Utilization!$B$45:$H$45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Utilization!$B$46:$H$46</c:f>
              <c:numCache>
                <c:formatCode>General</c:formatCode>
                <c:ptCount val="7"/>
                <c:pt idx="3">
                  <c:v>100.0</c:v>
                </c:pt>
                <c:pt idx="4">
                  <c:v>48.24525723890232</c:v>
                </c:pt>
                <c:pt idx="5">
                  <c:v>27.3660797101325</c:v>
                </c:pt>
                <c:pt idx="6">
                  <c:v>25.27942546739648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Utilization!$A$47</c:f>
              <c:strCache>
                <c:ptCount val="1"/>
                <c:pt idx="0">
                  <c:v>pm3.large</c:v>
                </c:pt>
              </c:strCache>
            </c:strRef>
          </c:tx>
          <c:marker>
            <c:symbol val="plus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Utilization!$B$45:$H$45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Utilization!$B$47:$H$47</c:f>
              <c:numCache>
                <c:formatCode>General</c:formatCode>
                <c:ptCount val="7"/>
                <c:pt idx="3">
                  <c:v>100.0</c:v>
                </c:pt>
                <c:pt idx="4">
                  <c:v>56.2774360440883</c:v>
                </c:pt>
                <c:pt idx="5">
                  <c:v>30.99131278165634</c:v>
                </c:pt>
                <c:pt idx="6">
                  <c:v>28.46828750286023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Utilization!$A$48</c:f>
              <c:strCache>
                <c:ptCount val="1"/>
                <c:pt idx="0">
                  <c:v>pc3.8xlarge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Utilization!$B$45:$H$45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Utilization!$B$48:$H$48</c:f>
              <c:numCache>
                <c:formatCode>General</c:formatCode>
                <c:ptCount val="7"/>
                <c:pt idx="3">
                  <c:v>100.0</c:v>
                </c:pt>
                <c:pt idx="4">
                  <c:v>52.40452893486161</c:v>
                </c:pt>
                <c:pt idx="5">
                  <c:v>17.12948615899937</c:v>
                </c:pt>
                <c:pt idx="6">
                  <c:v>13.53713224306078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Utilization!$A$49</c:f>
              <c:strCache>
                <c:ptCount val="1"/>
                <c:pt idx="0">
                  <c:v>pg2.2xlarge</c:v>
                </c:pt>
              </c:strCache>
            </c:strRef>
          </c:tx>
          <c:marker>
            <c:symbol val="triangle"/>
            <c:size val="7"/>
          </c:marker>
          <c:cat>
            <c:numRef>
              <c:f>Utilization!$B$45:$H$45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Utilization!$B$49:$H$49</c:f>
              <c:numCache>
                <c:formatCode>General</c:formatCode>
                <c:ptCount val="7"/>
                <c:pt idx="3">
                  <c:v>100.0</c:v>
                </c:pt>
                <c:pt idx="4">
                  <c:v>39.30312327152194</c:v>
                </c:pt>
                <c:pt idx="5">
                  <c:v>17.22853846716484</c:v>
                </c:pt>
                <c:pt idx="6">
                  <c:v>15.03515996201342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Utilization!$A$50</c:f>
              <c:strCache>
                <c:ptCount val="1"/>
                <c:pt idx="0">
                  <c:v>pr3.4xlarge</c:v>
                </c:pt>
              </c:strCache>
            </c:strRef>
          </c:tx>
          <c:marker>
            <c:symbol val="diamond"/>
            <c:size val="7"/>
          </c:marker>
          <c:cat>
            <c:numRef>
              <c:f>Utilization!$B$45:$H$45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Utilization!$B$50:$H$50</c:f>
              <c:numCache>
                <c:formatCode>General</c:formatCode>
                <c:ptCount val="7"/>
                <c:pt idx="3">
                  <c:v>100.0</c:v>
                </c:pt>
                <c:pt idx="4">
                  <c:v>34.39328266508898</c:v>
                </c:pt>
                <c:pt idx="5">
                  <c:v>13.41011787210731</c:v>
                </c:pt>
                <c:pt idx="6">
                  <c:v>11.33893241591173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Utilization!$A$51</c:f>
              <c:strCache>
                <c:ptCount val="1"/>
                <c:pt idx="0">
                  <c:v>pi2.8xlarge</c:v>
                </c:pt>
              </c:strCache>
            </c:strRef>
          </c:tx>
          <c:marker>
            <c:symbol val="square"/>
            <c:size val="7"/>
          </c:marker>
          <c:cat>
            <c:numRef>
              <c:f>Utilization!$B$45:$H$45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Utilization!$B$51:$H$51</c:f>
              <c:numCache>
                <c:formatCode>General</c:formatCode>
                <c:ptCount val="7"/>
                <c:pt idx="3">
                  <c:v>100.0</c:v>
                </c:pt>
                <c:pt idx="4">
                  <c:v>15.70704073753124</c:v>
                </c:pt>
                <c:pt idx="5">
                  <c:v>6.69267804122132</c:v>
                </c:pt>
                <c:pt idx="6">
                  <c:v>5.822215768768743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Utilization!$A$52</c:f>
              <c:strCache>
                <c:ptCount val="1"/>
                <c:pt idx="0">
                  <c:v>phs1.8xlarge</c:v>
                </c:pt>
              </c:strCache>
            </c:strRef>
          </c:tx>
          <c:marker>
            <c:symbol val="star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Utilization!$B$45:$H$45</c:f>
              <c:numCache>
                <c:formatCode>General</c:formatCode>
                <c:ptCount val="7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</c:numCache>
            </c:numRef>
          </c:cat>
          <c:val>
            <c:numRef>
              <c:f>Utilization!$B$52:$H$52</c:f>
              <c:numCache>
                <c:formatCode>General</c:formatCode>
                <c:ptCount val="7"/>
                <c:pt idx="2">
                  <c:v>100.0</c:v>
                </c:pt>
                <c:pt idx="3">
                  <c:v>52.8622139501026</c:v>
                </c:pt>
                <c:pt idx="4">
                  <c:v>7.631094897756601</c:v>
                </c:pt>
                <c:pt idx="5">
                  <c:v>3.323329419307908</c:v>
                </c:pt>
                <c:pt idx="6">
                  <c:v>2.89518198107759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15464"/>
        <c:axId val="2129822408"/>
      </c:lineChart>
      <c:catAx>
        <c:axId val="212981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822408"/>
        <c:crosses val="autoZero"/>
        <c:auto val="1"/>
        <c:lblAlgn val="ctr"/>
        <c:lblOffset val="100"/>
        <c:noMultiLvlLbl val="0"/>
      </c:catAx>
      <c:valAx>
        <c:axId val="2129822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of Private instances Vs. Public Instances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81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11</xdr:row>
      <xdr:rowOff>203200</xdr:rowOff>
    </xdr:from>
    <xdr:to>
      <xdr:col>16</xdr:col>
      <xdr:colOff>546100</xdr:colOff>
      <xdr:row>27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0</xdr:rowOff>
    </xdr:from>
    <xdr:to>
      <xdr:col>19</xdr:col>
      <xdr:colOff>812800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5</xdr:row>
      <xdr:rowOff>152400</xdr:rowOff>
    </xdr:from>
    <xdr:to>
      <xdr:col>19</xdr:col>
      <xdr:colOff>723900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0</xdr:rowOff>
    </xdr:from>
    <xdr:to>
      <xdr:col>19</xdr:col>
      <xdr:colOff>812800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42</xdr:row>
      <xdr:rowOff>25400</xdr:rowOff>
    </xdr:from>
    <xdr:to>
      <xdr:col>20</xdr:col>
      <xdr:colOff>127000</xdr:colOff>
      <xdr:row>73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Ruler="0" workbookViewId="0">
      <selection activeCell="H14" sqref="H14"/>
    </sheetView>
  </sheetViews>
  <sheetFormatPr baseColWidth="10" defaultRowHeight="18" x14ac:dyDescent="0"/>
  <cols>
    <col min="1" max="1" width="17.1640625" style="1" bestFit="1" customWidth="1"/>
    <col min="2" max="4" width="11" style="2" bestFit="1" customWidth="1"/>
    <col min="5" max="5" width="11.1640625" style="2" bestFit="1" customWidth="1"/>
    <col min="6" max="12" width="10.83203125" style="2"/>
    <col min="16" max="16" width="13.33203125" customWidth="1"/>
  </cols>
  <sheetData>
    <row r="1" spans="1:16" s="3" customFormat="1" ht="40">
      <c r="A1" s="3" t="s">
        <v>0</v>
      </c>
      <c r="B1" s="3" t="s">
        <v>8</v>
      </c>
      <c r="C1" s="3" t="s">
        <v>9</v>
      </c>
      <c r="D1" s="3" t="s">
        <v>10</v>
      </c>
      <c r="E1" s="3" t="s">
        <v>18</v>
      </c>
      <c r="F1" s="3" t="s">
        <v>28</v>
      </c>
      <c r="G1" s="3" t="s">
        <v>29</v>
      </c>
    </row>
    <row r="2" spans="1:16">
      <c r="A2" s="1" t="s">
        <v>1</v>
      </c>
      <c r="B2" s="2">
        <v>1</v>
      </c>
      <c r="C2" s="2">
        <v>2</v>
      </c>
      <c r="D2" s="2" t="s">
        <v>11</v>
      </c>
      <c r="E2" s="4">
        <v>2.5999999999999999E-2</v>
      </c>
      <c r="F2" s="2">
        <f>G2*4.4</f>
        <v>4.4000000000000004</v>
      </c>
      <c r="G2" s="2">
        <v>1</v>
      </c>
      <c r="M2" s="2"/>
      <c r="N2" s="2"/>
      <c r="O2" s="2"/>
      <c r="P2" s="2"/>
    </row>
    <row r="3" spans="1:16">
      <c r="A3" s="1" t="s">
        <v>2</v>
      </c>
      <c r="B3" s="2">
        <v>2</v>
      </c>
      <c r="C3" s="2">
        <v>7.5</v>
      </c>
      <c r="D3" s="2" t="s">
        <v>12</v>
      </c>
      <c r="E3" s="2">
        <v>0.14000000000000001</v>
      </c>
      <c r="F3" s="2">
        <f t="shared" ref="F3:F8" si="0">G3*4.4</f>
        <v>28.6</v>
      </c>
      <c r="G3" s="2">
        <v>6.5</v>
      </c>
      <c r="M3" s="2"/>
      <c r="N3" s="2"/>
      <c r="O3" s="2"/>
      <c r="P3" s="2"/>
    </row>
    <row r="4" spans="1:16">
      <c r="A4" s="1" t="s">
        <v>3</v>
      </c>
      <c r="B4" s="2">
        <v>32</v>
      </c>
      <c r="C4" s="2">
        <v>60</v>
      </c>
      <c r="D4" s="2" t="s">
        <v>13</v>
      </c>
      <c r="E4" s="2">
        <v>1.68</v>
      </c>
      <c r="F4" s="2">
        <f t="shared" si="0"/>
        <v>475.20000000000005</v>
      </c>
      <c r="G4" s="2">
        <v>108</v>
      </c>
      <c r="M4" s="2"/>
      <c r="N4" s="2"/>
      <c r="O4" s="2"/>
      <c r="P4" s="2"/>
    </row>
    <row r="5" spans="1:16">
      <c r="A5" s="1" t="s">
        <v>4</v>
      </c>
      <c r="B5" s="2">
        <v>8</v>
      </c>
      <c r="C5" s="2">
        <v>15</v>
      </c>
      <c r="D5" s="2" t="s">
        <v>14</v>
      </c>
      <c r="E5" s="2">
        <v>0.65</v>
      </c>
      <c r="F5" s="2">
        <f t="shared" si="0"/>
        <v>114.4</v>
      </c>
      <c r="G5" s="2">
        <v>26</v>
      </c>
      <c r="M5" s="2"/>
      <c r="N5" s="2"/>
      <c r="O5" s="2"/>
      <c r="P5" s="2"/>
    </row>
    <row r="6" spans="1:16">
      <c r="A6" s="1" t="s">
        <v>5</v>
      </c>
      <c r="B6" s="2">
        <v>16</v>
      </c>
      <c r="C6" s="2">
        <v>122</v>
      </c>
      <c r="D6" s="2" t="s">
        <v>15</v>
      </c>
      <c r="E6" s="2">
        <v>1.4</v>
      </c>
      <c r="F6" s="2">
        <f t="shared" si="0"/>
        <v>228.8</v>
      </c>
      <c r="G6" s="2">
        <v>52</v>
      </c>
      <c r="M6" s="2"/>
      <c r="N6" s="2"/>
      <c r="O6" s="2"/>
      <c r="P6" s="2"/>
    </row>
    <row r="7" spans="1:16">
      <c r="A7" s="1" t="s">
        <v>6</v>
      </c>
      <c r="B7" s="2">
        <v>32</v>
      </c>
      <c r="C7" s="2">
        <v>244</v>
      </c>
      <c r="D7" s="2" t="s">
        <v>16</v>
      </c>
      <c r="E7" s="2">
        <v>6.82</v>
      </c>
      <c r="F7" s="2">
        <f t="shared" si="0"/>
        <v>457.6</v>
      </c>
      <c r="G7" s="2">
        <v>104</v>
      </c>
      <c r="M7" s="2"/>
      <c r="N7" s="2"/>
      <c r="O7" s="2"/>
      <c r="P7" s="2"/>
    </row>
    <row r="8" spans="1:16">
      <c r="A8" s="1" t="s">
        <v>7</v>
      </c>
      <c r="B8" s="2">
        <v>16</v>
      </c>
      <c r="C8" s="2">
        <v>117</v>
      </c>
      <c r="D8" s="2" t="s">
        <v>17</v>
      </c>
      <c r="E8" s="2">
        <v>4.5999999999999996</v>
      </c>
      <c r="F8" s="2">
        <f t="shared" si="0"/>
        <v>154</v>
      </c>
      <c r="G8" s="2">
        <v>35</v>
      </c>
      <c r="M8" s="2"/>
      <c r="N8" s="2"/>
      <c r="O8" s="2"/>
      <c r="P8" s="2"/>
    </row>
    <row r="18" spans="1:7">
      <c r="B18" s="2">
        <v>1</v>
      </c>
      <c r="C18" s="2">
        <v>10</v>
      </c>
      <c r="D18" s="2">
        <v>100</v>
      </c>
      <c r="E18" s="2">
        <v>1000</v>
      </c>
      <c r="F18" s="2">
        <v>10000</v>
      </c>
      <c r="G18" s="2">
        <v>100000</v>
      </c>
    </row>
    <row r="19" spans="1:7">
      <c r="A19" s="1" t="s">
        <v>1</v>
      </c>
      <c r="B19" s="2">
        <f>0.026/4.4</f>
        <v>5.9090909090909081E-3</v>
      </c>
      <c r="C19" s="2">
        <f t="shared" ref="C19:G19" si="1">0.026/4.4</f>
        <v>5.9090909090909081E-3</v>
      </c>
      <c r="D19" s="2">
        <f t="shared" si="1"/>
        <v>5.9090909090909081E-3</v>
      </c>
      <c r="E19" s="2">
        <f t="shared" si="1"/>
        <v>5.9090909090909081E-3</v>
      </c>
      <c r="F19" s="2">
        <f t="shared" si="1"/>
        <v>5.9090909090909081E-3</v>
      </c>
      <c r="G19" s="2">
        <f t="shared" si="1"/>
        <v>5.9090909090909081E-3</v>
      </c>
    </row>
    <row r="20" spans="1:7">
      <c r="A20" s="1" t="s">
        <v>2</v>
      </c>
      <c r="B20" s="2">
        <f>0.14/28.6</f>
        <v>4.8951048951048955E-3</v>
      </c>
      <c r="C20" s="2">
        <f t="shared" ref="C20:G20" si="2">0.14/28.6</f>
        <v>4.8951048951048955E-3</v>
      </c>
      <c r="D20" s="2">
        <f t="shared" si="2"/>
        <v>4.8951048951048955E-3</v>
      </c>
      <c r="E20" s="2">
        <f t="shared" si="2"/>
        <v>4.8951048951048955E-3</v>
      </c>
      <c r="F20" s="2">
        <f t="shared" si="2"/>
        <v>4.8951048951048955E-3</v>
      </c>
      <c r="G20" s="2">
        <f t="shared" si="2"/>
        <v>4.8951048951048955E-3</v>
      </c>
    </row>
    <row r="21" spans="1:7">
      <c r="A21" s="1" t="s">
        <v>3</v>
      </c>
      <c r="B21" s="2">
        <f>1.68/475.2</f>
        <v>3.5353535353535351E-3</v>
      </c>
      <c r="C21" s="2">
        <f t="shared" ref="C21:G21" si="3">1.68/475.2</f>
        <v>3.5353535353535351E-3</v>
      </c>
      <c r="D21" s="2">
        <f t="shared" si="3"/>
        <v>3.5353535353535351E-3</v>
      </c>
      <c r="E21" s="2">
        <f t="shared" si="3"/>
        <v>3.5353535353535351E-3</v>
      </c>
      <c r="F21" s="2">
        <f t="shared" si="3"/>
        <v>3.5353535353535351E-3</v>
      </c>
      <c r="G21" s="2">
        <f t="shared" si="3"/>
        <v>3.5353535353535351E-3</v>
      </c>
    </row>
    <row r="22" spans="1:7">
      <c r="A22" s="1" t="s">
        <v>4</v>
      </c>
      <c r="B22" s="2">
        <f>0.65/114.4</f>
        <v>5.681818181818182E-3</v>
      </c>
      <c r="C22" s="2">
        <f t="shared" ref="C22:G22" si="4">0.65/114.4</f>
        <v>5.681818181818182E-3</v>
      </c>
      <c r="D22" s="2">
        <f t="shared" si="4"/>
        <v>5.681818181818182E-3</v>
      </c>
      <c r="E22" s="2">
        <f t="shared" si="4"/>
        <v>5.681818181818182E-3</v>
      </c>
      <c r="F22" s="2">
        <f t="shared" si="4"/>
        <v>5.681818181818182E-3</v>
      </c>
      <c r="G22" s="2">
        <f t="shared" si="4"/>
        <v>5.681818181818182E-3</v>
      </c>
    </row>
    <row r="23" spans="1:7">
      <c r="A23" s="1" t="s">
        <v>5</v>
      </c>
      <c r="B23" s="2">
        <f>1.4/228.8</f>
        <v>6.1188811188811181E-3</v>
      </c>
      <c r="C23" s="2">
        <f t="shared" ref="C23:G23" si="5">1.4/228.8</f>
        <v>6.1188811188811181E-3</v>
      </c>
      <c r="D23" s="2">
        <f t="shared" si="5"/>
        <v>6.1188811188811181E-3</v>
      </c>
      <c r="E23" s="2">
        <f t="shared" si="5"/>
        <v>6.1188811188811181E-3</v>
      </c>
      <c r="F23" s="2">
        <f t="shared" si="5"/>
        <v>6.1188811188811181E-3</v>
      </c>
      <c r="G23" s="2">
        <f t="shared" si="5"/>
        <v>6.1188811188811181E-3</v>
      </c>
    </row>
    <row r="24" spans="1:7">
      <c r="A24" s="1" t="s">
        <v>6</v>
      </c>
      <c r="B24" s="2">
        <f>6.82/457.6</f>
        <v>1.4903846153846153E-2</v>
      </c>
      <c r="C24" s="2">
        <f t="shared" ref="C24:G24" si="6">6.82/457.6</f>
        <v>1.4903846153846153E-2</v>
      </c>
      <c r="D24" s="2">
        <f t="shared" si="6"/>
        <v>1.4903846153846153E-2</v>
      </c>
      <c r="E24" s="2">
        <f t="shared" si="6"/>
        <v>1.4903846153846153E-2</v>
      </c>
      <c r="F24" s="2">
        <f t="shared" si="6"/>
        <v>1.4903846153846153E-2</v>
      </c>
      <c r="G24" s="2">
        <f t="shared" si="6"/>
        <v>1.4903846153846153E-2</v>
      </c>
    </row>
    <row r="25" spans="1:7">
      <c r="A25" s="1" t="s">
        <v>7</v>
      </c>
      <c r="B25" s="2">
        <f>4.6/154</f>
        <v>2.9870129870129866E-2</v>
      </c>
      <c r="C25" s="2">
        <f t="shared" ref="C25:G25" si="7">4.6/154</f>
        <v>2.9870129870129866E-2</v>
      </c>
      <c r="D25" s="2">
        <f t="shared" si="7"/>
        <v>2.9870129870129866E-2</v>
      </c>
      <c r="E25" s="2">
        <f t="shared" si="7"/>
        <v>2.9870129870129866E-2</v>
      </c>
      <c r="F25" s="2">
        <f t="shared" si="7"/>
        <v>2.9870129870129866E-2</v>
      </c>
      <c r="G25" s="2">
        <f t="shared" si="7"/>
        <v>2.9870129870129866E-2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Ruler="0" workbookViewId="0">
      <selection sqref="A1:H15"/>
    </sheetView>
  </sheetViews>
  <sheetFormatPr baseColWidth="10" defaultRowHeight="15" x14ac:dyDescent="0"/>
  <sheetData>
    <row r="1" spans="1:8">
      <c r="B1">
        <v>1</v>
      </c>
      <c r="C1">
        <v>10</v>
      </c>
      <c r="D1">
        <v>100</v>
      </c>
      <c r="E1">
        <v>1000</v>
      </c>
      <c r="F1">
        <v>10000</v>
      </c>
      <c r="G1">
        <v>100000</v>
      </c>
      <c r="H1">
        <v>1000000</v>
      </c>
    </row>
    <row r="2" spans="1:8">
      <c r="A2" t="s">
        <v>76</v>
      </c>
      <c r="B2">
        <f>13.92527201/4.4</f>
        <v>3.1648345477272728</v>
      </c>
      <c r="C2">
        <f t="shared" ref="C2:D2" si="0">13.92527201/4.4</f>
        <v>3.1648345477272728</v>
      </c>
      <c r="D2">
        <f t="shared" si="0"/>
        <v>3.1648345477272728</v>
      </c>
      <c r="E2">
        <f>0.0669890712690845/4.4</f>
        <v>1.5224788924791932E-2</v>
      </c>
      <c r="F2">
        <f>0.0125437668821146/4.4</f>
        <v>2.8508561095714996E-3</v>
      </c>
      <c r="G2">
        <f>0.00711518072463445/4.4</f>
        <v>1.6170865283260112E-3</v>
      </c>
      <c r="H2">
        <f>0.00657265062152308/4.4</f>
        <v>1.4937842321643361E-3</v>
      </c>
    </row>
    <row r="3" spans="1:8">
      <c r="A3" t="s">
        <v>77</v>
      </c>
      <c r="B3">
        <f>13.91524918/A23</f>
        <v>0.48654717412587412</v>
      </c>
      <c r="C3">
        <f t="shared" ref="C3:D3" si="1">13.91524918/B23</f>
        <v>0.48654717412587412</v>
      </c>
      <c r="D3">
        <f t="shared" si="1"/>
        <v>0.48654717412587412</v>
      </c>
      <c r="E3">
        <f>0.44430267257588/D23</f>
        <v>1.5535058481674125E-2</v>
      </c>
      <c r="F3">
        <f>0.0787884104617236/E23</f>
        <v>2.7548395266336918E-3</v>
      </c>
      <c r="G3">
        <f>0.0433878378943189/F23</f>
        <v>1.5170572690321293E-3</v>
      </c>
      <c r="H3">
        <f>0.0398556025040043/G23</f>
        <v>1.3935525351050455E-3</v>
      </c>
    </row>
    <row r="4" spans="1:8">
      <c r="A4" t="s">
        <v>78</v>
      </c>
      <c r="B4">
        <f>14.00444808/A24</f>
        <v>2.9470639898989896E-2</v>
      </c>
      <c r="C4">
        <f t="shared" ref="C4:D4" si="2">14.00444808/B24</f>
        <v>2.9470639898989896E-2</v>
      </c>
      <c r="D4">
        <f t="shared" si="2"/>
        <v>2.9470639898989896E-2</v>
      </c>
      <c r="E4">
        <f>7.09610424657534/D24</f>
        <v>1.4932879306766287E-2</v>
      </c>
      <c r="F4">
        <f>0.880396086105675/E24</f>
        <v>1.852685366383996E-3</v>
      </c>
      <c r="G4">
        <f>0.287775367471189/F24</f>
        <v>6.0558789451007776E-4</v>
      </c>
      <c r="H4">
        <f>0.227423821683421/G24</f>
        <v>4.7858548334053238E-4</v>
      </c>
    </row>
    <row r="5" spans="1:8">
      <c r="A5" t="s">
        <v>79</v>
      </c>
      <c r="B5">
        <f>14.10204514/A25</f>
        <v>0.12326962534965034</v>
      </c>
      <c r="C5">
        <f t="shared" ref="C5:E5" si="3">14.10204514/B25</f>
        <v>0.12326962534965034</v>
      </c>
      <c r="D5">
        <f t="shared" si="3"/>
        <v>0.12326962534965034</v>
      </c>
      <c r="E5">
        <f t="shared" si="3"/>
        <v>0.12326962534965034</v>
      </c>
      <c r="F5">
        <f>0.255470301264893/E25</f>
        <v>2.2331320040637499E-3</v>
      </c>
      <c r="G5">
        <f>0.111985500036571/F25</f>
        <v>9.7889423108890724E-4</v>
      </c>
      <c r="H5">
        <f>0.0977285397530872/G25</f>
        <v>8.5427045238712588E-4</v>
      </c>
    </row>
    <row r="6" spans="1:8">
      <c r="A6" t="s">
        <v>80</v>
      </c>
      <c r="B6">
        <f>14.08472205/A26</f>
        <v>6.1559099868881112E-2</v>
      </c>
      <c r="C6">
        <f t="shared" ref="C6:D6" si="4">14.08472205/B26</f>
        <v>6.1559099868881112E-2</v>
      </c>
      <c r="D6">
        <f t="shared" si="4"/>
        <v>6.1559099868881112E-2</v>
      </c>
      <c r="E6">
        <f>3.60346308219178/D26</f>
        <v>1.5749401583006032E-2</v>
      </c>
      <c r="F6">
        <f>0.481505957311246/E26</f>
        <v>2.1044840791575436E-3</v>
      </c>
      <c r="G6">
        <f>0.187741650209502/F26</f>
        <v>8.2054917049607522E-4</v>
      </c>
      <c r="H6">
        <f>0.158745053822764/G26</f>
        <v>6.9381579467991256E-4</v>
      </c>
    </row>
    <row r="7" spans="1:8">
      <c r="A7" t="s">
        <v>81</v>
      </c>
      <c r="B7">
        <f>14.1743111/A27</f>
        <v>3.0975330201048951E-2</v>
      </c>
      <c r="C7">
        <f t="shared" ref="C7:D7" si="5">14.1743111/B27</f>
        <v>3.0975330201048951E-2</v>
      </c>
      <c r="D7">
        <f t="shared" si="5"/>
        <v>3.0975330201048951E-2</v>
      </c>
      <c r="E7">
        <f>7.296469543379/D27</f>
        <v>1.5945082044097465E-2</v>
      </c>
      <c r="F7">
        <f>1.07122017829963/E27</f>
        <v>2.3409531868435968E-3</v>
      </c>
      <c r="G7">
        <f>0.456440642411294/F27</f>
        <v>9.9746643883586979E-4</v>
      </c>
      <c r="H7">
        <f>0.397075115430028/G27</f>
        <v>8.677340809222639E-4</v>
      </c>
    </row>
    <row r="8" spans="1:8">
      <c r="A8" t="s">
        <v>82</v>
      </c>
      <c r="B8">
        <f>14.15138872/A28</f>
        <v>9.1892134545454543E-2</v>
      </c>
      <c r="C8">
        <f t="shared" ref="C8:D8" si="6">14.15138872/B28</f>
        <v>9.1892134545454543E-2</v>
      </c>
      <c r="D8">
        <f t="shared" si="6"/>
        <v>9.1892134545454543E-2</v>
      </c>
      <c r="E8">
        <f>2.43166184170472/E28</f>
        <v>1.579001195912156E-2</v>
      </c>
      <c r="F8">
        <f>0.351030365296804/E28</f>
        <v>2.2794179564727532E-3</v>
      </c>
      <c r="G8">
        <f>0.152873153288164/F28</f>
        <v>9.9268281355950659E-4</v>
      </c>
      <c r="H8">
        <f>0.133178371129569/G28</f>
        <v>8.6479461772447411E-4</v>
      </c>
    </row>
    <row r="9" spans="1:8" ht="18">
      <c r="A9" s="1" t="s">
        <v>1</v>
      </c>
      <c r="B9" s="2">
        <f>0.026/4.4</f>
        <v>5.9090909090909081E-3</v>
      </c>
      <c r="C9" s="2">
        <f t="shared" ref="C9:H9" si="7">0.026/4.4</f>
        <v>5.9090909090909081E-3</v>
      </c>
      <c r="D9" s="2">
        <f t="shared" si="7"/>
        <v>5.9090909090909081E-3</v>
      </c>
      <c r="E9" s="2">
        <f t="shared" si="7"/>
        <v>5.9090909090909081E-3</v>
      </c>
      <c r="F9" s="2">
        <f t="shared" si="7"/>
        <v>5.9090909090909081E-3</v>
      </c>
      <c r="G9" s="2">
        <f t="shared" si="7"/>
        <v>5.9090909090909081E-3</v>
      </c>
      <c r="H9" s="2">
        <f t="shared" si="7"/>
        <v>5.9090909090909081E-3</v>
      </c>
    </row>
    <row r="10" spans="1:8" ht="18">
      <c r="A10" s="1" t="s">
        <v>2</v>
      </c>
      <c r="B10" s="2">
        <f>0.14/28.6</f>
        <v>4.8951048951048955E-3</v>
      </c>
      <c r="C10" s="2">
        <f t="shared" ref="C10:H10" si="8">0.14/28.6</f>
        <v>4.8951048951048955E-3</v>
      </c>
      <c r="D10" s="2">
        <f t="shared" si="8"/>
        <v>4.8951048951048955E-3</v>
      </c>
      <c r="E10" s="2">
        <f t="shared" si="8"/>
        <v>4.8951048951048955E-3</v>
      </c>
      <c r="F10" s="2">
        <f t="shared" si="8"/>
        <v>4.8951048951048955E-3</v>
      </c>
      <c r="G10" s="2">
        <f t="shared" si="8"/>
        <v>4.8951048951048955E-3</v>
      </c>
      <c r="H10" s="2">
        <f t="shared" si="8"/>
        <v>4.8951048951048955E-3</v>
      </c>
    </row>
    <row r="11" spans="1:8" ht="18">
      <c r="A11" s="1" t="s">
        <v>3</v>
      </c>
      <c r="B11" s="2">
        <f>1.68/475.2</f>
        <v>3.5353535353535351E-3</v>
      </c>
      <c r="C11" s="2">
        <f t="shared" ref="C11:H11" si="9">1.68/475.2</f>
        <v>3.5353535353535351E-3</v>
      </c>
      <c r="D11" s="2">
        <f t="shared" si="9"/>
        <v>3.5353535353535351E-3</v>
      </c>
      <c r="E11" s="2">
        <f t="shared" si="9"/>
        <v>3.5353535353535351E-3</v>
      </c>
      <c r="F11" s="2">
        <f t="shared" si="9"/>
        <v>3.5353535353535351E-3</v>
      </c>
      <c r="G11" s="2">
        <f t="shared" si="9"/>
        <v>3.5353535353535351E-3</v>
      </c>
      <c r="H11" s="2">
        <f t="shared" si="9"/>
        <v>3.5353535353535351E-3</v>
      </c>
    </row>
    <row r="12" spans="1:8" ht="18">
      <c r="A12" s="1" t="s">
        <v>4</v>
      </c>
      <c r="B12" s="2">
        <f>0.65/114.4</f>
        <v>5.681818181818182E-3</v>
      </c>
      <c r="C12" s="2">
        <f t="shared" ref="C12:H12" si="10">0.65/114.4</f>
        <v>5.681818181818182E-3</v>
      </c>
      <c r="D12" s="2">
        <f t="shared" si="10"/>
        <v>5.681818181818182E-3</v>
      </c>
      <c r="E12" s="2">
        <f t="shared" si="10"/>
        <v>5.681818181818182E-3</v>
      </c>
      <c r="F12" s="2">
        <f t="shared" si="10"/>
        <v>5.681818181818182E-3</v>
      </c>
      <c r="G12" s="2">
        <f t="shared" si="10"/>
        <v>5.681818181818182E-3</v>
      </c>
      <c r="H12" s="2">
        <f t="shared" si="10"/>
        <v>5.681818181818182E-3</v>
      </c>
    </row>
    <row r="13" spans="1:8" ht="18">
      <c r="A13" s="1" t="s">
        <v>5</v>
      </c>
      <c r="B13" s="2">
        <f>1.4/228.8</f>
        <v>6.1188811188811181E-3</v>
      </c>
      <c r="C13" s="2">
        <f t="shared" ref="C13:H13" si="11">1.4/228.8</f>
        <v>6.1188811188811181E-3</v>
      </c>
      <c r="D13" s="2">
        <f t="shared" si="11"/>
        <v>6.1188811188811181E-3</v>
      </c>
      <c r="E13" s="2">
        <f t="shared" si="11"/>
        <v>6.1188811188811181E-3</v>
      </c>
      <c r="F13" s="2">
        <f t="shared" si="11"/>
        <v>6.1188811188811181E-3</v>
      </c>
      <c r="G13" s="2">
        <f t="shared" si="11"/>
        <v>6.1188811188811181E-3</v>
      </c>
      <c r="H13" s="2">
        <f t="shared" si="11"/>
        <v>6.1188811188811181E-3</v>
      </c>
    </row>
    <row r="14" spans="1:8" ht="18">
      <c r="A14" s="1" t="s">
        <v>6</v>
      </c>
      <c r="B14" s="2">
        <f>6.82/457.6</f>
        <v>1.4903846153846153E-2</v>
      </c>
      <c r="C14" s="2">
        <f t="shared" ref="C14:H14" si="12">6.82/457.6</f>
        <v>1.4903846153846153E-2</v>
      </c>
      <c r="D14" s="2">
        <f t="shared" si="12"/>
        <v>1.4903846153846153E-2</v>
      </c>
      <c r="E14" s="2">
        <f t="shared" si="12"/>
        <v>1.4903846153846153E-2</v>
      </c>
      <c r="F14" s="2">
        <f t="shared" si="12"/>
        <v>1.4903846153846153E-2</v>
      </c>
      <c r="G14" s="2">
        <f t="shared" si="12"/>
        <v>1.4903846153846153E-2</v>
      </c>
      <c r="H14" s="2">
        <f t="shared" si="12"/>
        <v>1.4903846153846153E-2</v>
      </c>
    </row>
    <row r="15" spans="1:8" ht="18">
      <c r="A15" s="1" t="s">
        <v>7</v>
      </c>
      <c r="B15" s="2">
        <f>4.6/154</f>
        <v>2.9870129870129866E-2</v>
      </c>
      <c r="C15" s="2">
        <f t="shared" ref="C15:H15" si="13">4.6/154</f>
        <v>2.9870129870129866E-2</v>
      </c>
      <c r="D15" s="2">
        <f t="shared" si="13"/>
        <v>2.9870129870129866E-2</v>
      </c>
      <c r="E15" s="2">
        <f t="shared" si="13"/>
        <v>2.9870129870129866E-2</v>
      </c>
      <c r="F15" s="2">
        <f t="shared" si="13"/>
        <v>2.9870129870129866E-2</v>
      </c>
      <c r="G15" s="2">
        <f t="shared" si="13"/>
        <v>2.9870129870129866E-2</v>
      </c>
      <c r="H15" s="2">
        <f t="shared" si="13"/>
        <v>2.9870129870129866E-2</v>
      </c>
    </row>
    <row r="22" spans="1:8" ht="18">
      <c r="A22">
        <v>4.4000000000000004</v>
      </c>
      <c r="B22">
        <v>4.4000000000000004</v>
      </c>
      <c r="C22">
        <v>4.4000000000000004</v>
      </c>
      <c r="D22">
        <v>4.4000000000000004</v>
      </c>
      <c r="E22">
        <v>4.4000000000000004</v>
      </c>
      <c r="F22">
        <v>4.4000000000000004</v>
      </c>
      <c r="G22">
        <v>4.4000000000000004</v>
      </c>
      <c r="H22" s="1" t="s">
        <v>1</v>
      </c>
    </row>
    <row r="23" spans="1:8" ht="18">
      <c r="A23">
        <v>28.6</v>
      </c>
      <c r="B23">
        <v>28.6</v>
      </c>
      <c r="C23">
        <v>28.6</v>
      </c>
      <c r="D23">
        <v>28.6</v>
      </c>
      <c r="E23">
        <v>28.6</v>
      </c>
      <c r="F23">
        <v>28.6</v>
      </c>
      <c r="G23">
        <v>28.6</v>
      </c>
      <c r="H23" s="1" t="s">
        <v>2</v>
      </c>
    </row>
    <row r="24" spans="1:8" ht="18">
      <c r="A24">
        <v>475.20000000000005</v>
      </c>
      <c r="B24">
        <v>475.20000000000005</v>
      </c>
      <c r="C24">
        <v>475.20000000000005</v>
      </c>
      <c r="D24">
        <v>475.20000000000005</v>
      </c>
      <c r="E24">
        <v>475.20000000000005</v>
      </c>
      <c r="F24">
        <v>475.20000000000005</v>
      </c>
      <c r="G24">
        <v>475.20000000000005</v>
      </c>
      <c r="H24" s="1" t="s">
        <v>3</v>
      </c>
    </row>
    <row r="25" spans="1:8" ht="18">
      <c r="A25">
        <v>114.4</v>
      </c>
      <c r="B25">
        <v>114.4</v>
      </c>
      <c r="C25">
        <v>114.4</v>
      </c>
      <c r="D25">
        <v>114.4</v>
      </c>
      <c r="E25">
        <v>114.4</v>
      </c>
      <c r="F25">
        <v>114.4</v>
      </c>
      <c r="G25">
        <v>114.4</v>
      </c>
      <c r="H25" s="1" t="s">
        <v>4</v>
      </c>
    </row>
    <row r="26" spans="1:8" ht="18">
      <c r="A26">
        <v>228.8</v>
      </c>
      <c r="B26">
        <v>228.8</v>
      </c>
      <c r="C26">
        <v>228.8</v>
      </c>
      <c r="D26">
        <v>228.8</v>
      </c>
      <c r="E26">
        <v>228.8</v>
      </c>
      <c r="F26">
        <v>228.8</v>
      </c>
      <c r="G26">
        <v>228.8</v>
      </c>
      <c r="H26" s="1" t="s">
        <v>5</v>
      </c>
    </row>
    <row r="27" spans="1:8" ht="18">
      <c r="A27">
        <v>457.6</v>
      </c>
      <c r="B27">
        <v>457.6</v>
      </c>
      <c r="C27">
        <v>457.6</v>
      </c>
      <c r="D27">
        <v>457.6</v>
      </c>
      <c r="E27">
        <v>457.6</v>
      </c>
      <c r="F27">
        <v>457.6</v>
      </c>
      <c r="G27">
        <v>457.6</v>
      </c>
      <c r="H27" s="1" t="s">
        <v>6</v>
      </c>
    </row>
    <row r="28" spans="1:8" ht="18">
      <c r="A28">
        <v>154</v>
      </c>
      <c r="B28">
        <v>154</v>
      </c>
      <c r="C28">
        <v>154</v>
      </c>
      <c r="D28">
        <v>154</v>
      </c>
      <c r="E28">
        <v>154</v>
      </c>
      <c r="F28">
        <v>154</v>
      </c>
      <c r="G28">
        <v>154</v>
      </c>
      <c r="H28" s="1" t="s">
        <v>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9"/>
  <sheetViews>
    <sheetView tabSelected="1" showRuler="0" topLeftCell="A37" workbookViewId="0">
      <selection activeCell="I68" sqref="I68"/>
    </sheetView>
  </sheetViews>
  <sheetFormatPr baseColWidth="10" defaultRowHeight="15" x14ac:dyDescent="0"/>
  <sheetData>
    <row r="2" spans="1:8">
      <c r="B2">
        <v>1</v>
      </c>
      <c r="C2">
        <v>10</v>
      </c>
      <c r="D2">
        <v>100</v>
      </c>
      <c r="E2">
        <v>1000</v>
      </c>
      <c r="F2">
        <v>10000</v>
      </c>
      <c r="G2">
        <v>100000</v>
      </c>
      <c r="H2">
        <v>1000000</v>
      </c>
    </row>
    <row r="3" spans="1:8">
      <c r="A3" t="s">
        <v>76</v>
      </c>
      <c r="B3">
        <v>13.925272009132421</v>
      </c>
      <c r="C3">
        <v>13.925272009132421</v>
      </c>
      <c r="D3">
        <v>13.925272009132421</v>
      </c>
      <c r="E3">
        <v>6.698907126908453E-2</v>
      </c>
      <c r="F3">
        <v>1.2543766882114605E-2</v>
      </c>
      <c r="G3">
        <v>7.1151807246344484E-3</v>
      </c>
      <c r="H3">
        <v>6.5726506215230849E-3</v>
      </c>
    </row>
    <row r="4" spans="1:8">
      <c r="A4" t="s">
        <v>77</v>
      </c>
      <c r="B4">
        <v>13.915249178082192</v>
      </c>
      <c r="C4">
        <v>13.915249178082192</v>
      </c>
      <c r="D4">
        <v>13.915249178082192</v>
      </c>
      <c r="E4">
        <v>0.44430267257587958</v>
      </c>
      <c r="F4">
        <v>7.8788410461723635E-2</v>
      </c>
      <c r="G4">
        <v>4.3387837894318881E-2</v>
      </c>
      <c r="H4">
        <v>3.9855602504004328E-2</v>
      </c>
    </row>
    <row r="5" spans="1:8" ht="18" customHeight="1">
      <c r="A5" t="s">
        <v>78</v>
      </c>
      <c r="B5">
        <v>14.004448082191781</v>
      </c>
      <c r="C5">
        <v>14.004448082191781</v>
      </c>
      <c r="D5">
        <v>14.004448082191781</v>
      </c>
      <c r="E5">
        <v>7.0961042465753437</v>
      </c>
      <c r="F5">
        <v>0.88039608610567499</v>
      </c>
      <c r="G5">
        <v>0.28777536747118937</v>
      </c>
      <c r="H5">
        <v>0.22742382168342101</v>
      </c>
    </row>
    <row r="6" spans="1:8">
      <c r="A6" t="s">
        <v>79</v>
      </c>
      <c r="B6">
        <v>14.102045141552511</v>
      </c>
      <c r="C6">
        <v>14.102045141552511</v>
      </c>
      <c r="D6">
        <v>14.102045141552511</v>
      </c>
      <c r="E6">
        <v>14.102045141552511</v>
      </c>
      <c r="F6">
        <v>0.25547030126489267</v>
      </c>
      <c r="G6">
        <v>0.11198550003657147</v>
      </c>
      <c r="H6">
        <v>9.7728539753087207E-2</v>
      </c>
    </row>
    <row r="7" spans="1:8">
      <c r="A7" t="s">
        <v>80</v>
      </c>
      <c r="B7">
        <v>14.08472205479452</v>
      </c>
      <c r="C7">
        <v>14.08472205479452</v>
      </c>
      <c r="D7">
        <v>14.08472205479452</v>
      </c>
      <c r="E7">
        <v>3.6034630821917815</v>
      </c>
      <c r="F7">
        <v>0.48150595731124562</v>
      </c>
      <c r="G7">
        <v>0.18774165020950231</v>
      </c>
      <c r="H7">
        <v>0.15874505382276419</v>
      </c>
    </row>
    <row r="8" spans="1:8">
      <c r="A8" t="s">
        <v>81</v>
      </c>
      <c r="B8">
        <v>14.174311095890411</v>
      </c>
      <c r="C8">
        <v>14.174311095890411</v>
      </c>
      <c r="D8">
        <v>14.174311095890411</v>
      </c>
      <c r="E8">
        <v>7.2964695433789961</v>
      </c>
      <c r="F8">
        <v>1.0712201782996302</v>
      </c>
      <c r="G8">
        <v>0.45644064241129406</v>
      </c>
      <c r="H8">
        <v>0.39707511543002827</v>
      </c>
    </row>
    <row r="9" spans="1:8">
      <c r="A9" t="s">
        <v>82</v>
      </c>
      <c r="B9">
        <v>14.151388721461187</v>
      </c>
      <c r="C9">
        <v>14.151388721461187</v>
      </c>
      <c r="D9">
        <v>14.151388721461187</v>
      </c>
      <c r="E9">
        <v>2.4316618417047189</v>
      </c>
      <c r="F9">
        <v>0.35103036529680365</v>
      </c>
      <c r="G9">
        <v>0.15287315328816375</v>
      </c>
      <c r="H9">
        <v>0.13317837112956912</v>
      </c>
    </row>
    <row r="10" spans="1:8" ht="18">
      <c r="A10" s="1" t="s">
        <v>1</v>
      </c>
      <c r="B10" s="2">
        <v>2.5999999999999999E-2</v>
      </c>
      <c r="C10" s="2">
        <v>2.5999999999999999E-2</v>
      </c>
      <c r="D10" s="2">
        <v>2.5999999999999999E-2</v>
      </c>
      <c r="E10" s="2">
        <v>2.5999999999999999E-2</v>
      </c>
      <c r="F10" s="2">
        <v>2.5999999999999999E-2</v>
      </c>
      <c r="G10" s="2">
        <v>2.5999999999999999E-2</v>
      </c>
      <c r="H10" s="2">
        <v>2.5999999999999999E-2</v>
      </c>
    </row>
    <row r="11" spans="1:8" ht="18">
      <c r="A11" s="1" t="s">
        <v>2</v>
      </c>
      <c r="B11" s="2">
        <v>0.14000000000000001</v>
      </c>
      <c r="C11" s="2">
        <v>0.14000000000000001</v>
      </c>
      <c r="D11" s="2">
        <v>0.14000000000000001</v>
      </c>
      <c r="E11" s="2">
        <v>0.14000000000000001</v>
      </c>
      <c r="F11" s="2">
        <v>0.14000000000000001</v>
      </c>
      <c r="G11" s="2">
        <v>0.14000000000000001</v>
      </c>
      <c r="H11" s="2">
        <v>0.14000000000000001</v>
      </c>
    </row>
    <row r="12" spans="1:8" ht="18">
      <c r="A12" s="1" t="s">
        <v>3</v>
      </c>
      <c r="B12" s="2">
        <v>1.68</v>
      </c>
      <c r="C12" s="2">
        <v>1.68</v>
      </c>
      <c r="D12" s="2">
        <v>1.68</v>
      </c>
      <c r="E12" s="2">
        <v>1.68</v>
      </c>
      <c r="F12" s="2">
        <v>1.68</v>
      </c>
      <c r="G12" s="2">
        <v>1.68</v>
      </c>
      <c r="H12" s="2">
        <v>1.68</v>
      </c>
    </row>
    <row r="13" spans="1:8" ht="18">
      <c r="A13" s="1" t="s">
        <v>4</v>
      </c>
      <c r="B13" s="2">
        <v>0.65</v>
      </c>
      <c r="C13" s="2">
        <v>0.65</v>
      </c>
      <c r="D13" s="2">
        <v>0.65</v>
      </c>
      <c r="E13" s="2">
        <v>0.65</v>
      </c>
      <c r="F13" s="2">
        <v>0.65</v>
      </c>
      <c r="G13" s="2">
        <v>0.65</v>
      </c>
      <c r="H13" s="2">
        <v>0.65</v>
      </c>
    </row>
    <row r="14" spans="1:8" ht="18">
      <c r="A14" s="1" t="s">
        <v>5</v>
      </c>
      <c r="B14" s="2">
        <v>1.4</v>
      </c>
      <c r="C14" s="2">
        <v>1.4</v>
      </c>
      <c r="D14" s="2">
        <v>1.4</v>
      </c>
      <c r="E14" s="2">
        <v>1.4</v>
      </c>
      <c r="F14" s="2">
        <v>1.4</v>
      </c>
      <c r="G14" s="2">
        <v>1.4</v>
      </c>
      <c r="H14" s="2">
        <v>1.4</v>
      </c>
    </row>
    <row r="15" spans="1:8" ht="18">
      <c r="A15" s="1" t="s">
        <v>6</v>
      </c>
      <c r="B15" s="2">
        <v>6.82</v>
      </c>
      <c r="C15" s="2">
        <v>6.82</v>
      </c>
      <c r="D15" s="2">
        <v>6.82</v>
      </c>
      <c r="E15" s="2">
        <v>6.82</v>
      </c>
      <c r="F15" s="2">
        <v>6.82</v>
      </c>
      <c r="G15" s="2">
        <v>6.82</v>
      </c>
      <c r="H15" s="2">
        <v>6.82</v>
      </c>
    </row>
    <row r="16" spans="1:8" ht="18">
      <c r="A16" s="1" t="s">
        <v>7</v>
      </c>
      <c r="B16" s="2">
        <v>4.5999999999999996</v>
      </c>
      <c r="C16" s="2">
        <v>4.5999999999999996</v>
      </c>
      <c r="D16" s="2">
        <v>4.5999999999999996</v>
      </c>
      <c r="E16" s="2">
        <v>4.5999999999999996</v>
      </c>
      <c r="F16" s="2">
        <v>4.5999999999999996</v>
      </c>
      <c r="G16" s="2">
        <v>4.5999999999999996</v>
      </c>
      <c r="H16" s="2">
        <v>4.5999999999999996</v>
      </c>
    </row>
    <row r="45" spans="1:8">
      <c r="B45">
        <v>1</v>
      </c>
      <c r="C45">
        <v>10</v>
      </c>
      <c r="D45">
        <v>100</v>
      </c>
      <c r="E45">
        <v>1000</v>
      </c>
      <c r="F45">
        <v>10000</v>
      </c>
      <c r="G45">
        <v>100000</v>
      </c>
      <c r="H45">
        <v>1000000</v>
      </c>
    </row>
    <row r="46" spans="1:8">
      <c r="A46" t="s">
        <v>76</v>
      </c>
      <c r="E46">
        <v>100</v>
      </c>
      <c r="F46">
        <f t="shared" ref="F46:H46" si="0">100/(F53/F3)</f>
        <v>48.245257238902326</v>
      </c>
      <c r="G46">
        <f t="shared" si="0"/>
        <v>27.366079710132496</v>
      </c>
      <c r="H46">
        <f t="shared" si="0"/>
        <v>25.279425467396482</v>
      </c>
    </row>
    <row r="47" spans="1:8">
      <c r="A47" t="s">
        <v>77</v>
      </c>
      <c r="E47">
        <v>100</v>
      </c>
      <c r="F47">
        <f t="shared" ref="E47:H52" si="1">100/(F54/F4)</f>
        <v>56.277436044088304</v>
      </c>
      <c r="G47">
        <f t="shared" si="1"/>
        <v>30.99131278165634</v>
      </c>
      <c r="H47">
        <f t="shared" si="1"/>
        <v>28.468287502860232</v>
      </c>
    </row>
    <row r="48" spans="1:8">
      <c r="A48" t="s">
        <v>78</v>
      </c>
      <c r="E48">
        <v>100</v>
      </c>
      <c r="F48">
        <f t="shared" si="1"/>
        <v>52.404528934861609</v>
      </c>
      <c r="G48">
        <f t="shared" si="1"/>
        <v>17.129486158999367</v>
      </c>
      <c r="H48">
        <f t="shared" si="1"/>
        <v>13.537132243060777</v>
      </c>
    </row>
    <row r="49" spans="1:8">
      <c r="A49" t="s">
        <v>79</v>
      </c>
      <c r="E49">
        <v>100</v>
      </c>
      <c r="F49">
        <f t="shared" si="1"/>
        <v>39.303123271521947</v>
      </c>
      <c r="G49">
        <f t="shared" si="1"/>
        <v>17.228538467164842</v>
      </c>
      <c r="H49">
        <f t="shared" si="1"/>
        <v>15.035159962013417</v>
      </c>
    </row>
    <row r="50" spans="1:8">
      <c r="A50" t="s">
        <v>80</v>
      </c>
      <c r="E50">
        <v>100</v>
      </c>
      <c r="F50">
        <f t="shared" si="1"/>
        <v>34.393282665088975</v>
      </c>
      <c r="G50">
        <f t="shared" si="1"/>
        <v>13.410117872107309</v>
      </c>
      <c r="H50">
        <f t="shared" si="1"/>
        <v>11.33893241591173</v>
      </c>
    </row>
    <row r="51" spans="1:8">
      <c r="A51" t="s">
        <v>81</v>
      </c>
      <c r="E51">
        <v>100</v>
      </c>
      <c r="F51">
        <f t="shared" si="1"/>
        <v>15.707040737531235</v>
      </c>
      <c r="G51">
        <f t="shared" si="1"/>
        <v>6.6926780412213205</v>
      </c>
      <c r="H51">
        <f t="shared" si="1"/>
        <v>5.8222157687687428</v>
      </c>
    </row>
    <row r="52" spans="1:8">
      <c r="A52" t="s">
        <v>82</v>
      </c>
      <c r="D52">
        <v>100</v>
      </c>
      <c r="E52">
        <f t="shared" si="1"/>
        <v>52.862213950102593</v>
      </c>
      <c r="F52">
        <f t="shared" si="1"/>
        <v>7.6310948977566015</v>
      </c>
      <c r="G52">
        <f t="shared" si="1"/>
        <v>3.3233294193079082</v>
      </c>
      <c r="H52">
        <f t="shared" si="1"/>
        <v>2.8951819810775898</v>
      </c>
    </row>
    <row r="53" spans="1:8" ht="18">
      <c r="A53" s="1" t="s">
        <v>1</v>
      </c>
      <c r="B53" s="2">
        <v>2.5999999999999999E-2</v>
      </c>
      <c r="C53" s="2">
        <v>2.5999999999999999E-2</v>
      </c>
      <c r="D53" s="2">
        <v>2.5999999999999999E-2</v>
      </c>
      <c r="E53" s="2">
        <v>2.5999999999999999E-2</v>
      </c>
      <c r="F53" s="2">
        <v>2.5999999999999999E-2</v>
      </c>
      <c r="G53" s="2">
        <v>2.5999999999999999E-2</v>
      </c>
      <c r="H53" s="2">
        <v>2.5999999999999999E-2</v>
      </c>
    </row>
    <row r="54" spans="1:8" ht="18">
      <c r="A54" s="1" t="s">
        <v>2</v>
      </c>
      <c r="B54" s="2">
        <v>0.14000000000000001</v>
      </c>
      <c r="C54" s="2">
        <v>0.14000000000000001</v>
      </c>
      <c r="D54" s="2">
        <v>0.14000000000000001</v>
      </c>
      <c r="E54" s="2">
        <v>0.14000000000000001</v>
      </c>
      <c r="F54" s="2">
        <v>0.14000000000000001</v>
      </c>
      <c r="G54" s="2">
        <v>0.14000000000000001</v>
      </c>
      <c r="H54" s="2">
        <v>0.14000000000000001</v>
      </c>
    </row>
    <row r="55" spans="1:8" ht="18">
      <c r="A55" s="1" t="s">
        <v>3</v>
      </c>
      <c r="B55" s="2">
        <v>1.68</v>
      </c>
      <c r="C55" s="2">
        <v>1.68</v>
      </c>
      <c r="D55" s="2">
        <v>1.68</v>
      </c>
      <c r="E55" s="2">
        <v>1.68</v>
      </c>
      <c r="F55" s="2">
        <v>1.68</v>
      </c>
      <c r="G55" s="2">
        <v>1.68</v>
      </c>
      <c r="H55" s="2">
        <v>1.68</v>
      </c>
    </row>
    <row r="56" spans="1:8" ht="18">
      <c r="A56" s="1" t="s">
        <v>4</v>
      </c>
      <c r="B56" s="2">
        <v>0.65</v>
      </c>
      <c r="C56" s="2">
        <v>0.65</v>
      </c>
      <c r="D56" s="2">
        <v>0.65</v>
      </c>
      <c r="E56" s="2">
        <v>0.65</v>
      </c>
      <c r="F56" s="2">
        <v>0.65</v>
      </c>
      <c r="G56" s="2">
        <v>0.65</v>
      </c>
      <c r="H56" s="2">
        <v>0.65</v>
      </c>
    </row>
    <row r="57" spans="1:8" ht="18">
      <c r="A57" s="1" t="s">
        <v>5</v>
      </c>
      <c r="B57" s="2">
        <v>1.4</v>
      </c>
      <c r="C57" s="2">
        <v>1.4</v>
      </c>
      <c r="D57" s="2">
        <v>1.4</v>
      </c>
      <c r="E57" s="2">
        <v>1.4</v>
      </c>
      <c r="F57" s="2">
        <v>1.4</v>
      </c>
      <c r="G57" s="2">
        <v>1.4</v>
      </c>
      <c r="H57" s="2">
        <v>1.4</v>
      </c>
    </row>
    <row r="58" spans="1:8" ht="18">
      <c r="A58" s="1" t="s">
        <v>6</v>
      </c>
      <c r="B58" s="2">
        <v>6.82</v>
      </c>
      <c r="C58" s="2">
        <v>6.82</v>
      </c>
      <c r="D58" s="2">
        <v>6.82</v>
      </c>
      <c r="E58" s="2">
        <v>6.82</v>
      </c>
      <c r="F58" s="2">
        <v>6.82</v>
      </c>
      <c r="G58" s="2">
        <v>6.82</v>
      </c>
      <c r="H58" s="2">
        <v>6.82</v>
      </c>
    </row>
    <row r="59" spans="1:8" ht="18">
      <c r="A59" s="1" t="s">
        <v>7</v>
      </c>
      <c r="B59" s="2">
        <v>4.5999999999999996</v>
      </c>
      <c r="C59" s="2">
        <v>4.5999999999999996</v>
      </c>
      <c r="D59" s="2">
        <v>4.5999999999999996</v>
      </c>
      <c r="E59" s="2">
        <v>4.5999999999999996</v>
      </c>
      <c r="F59" s="2">
        <v>4.5999999999999996</v>
      </c>
      <c r="G59" s="2">
        <v>4.5999999999999996</v>
      </c>
      <c r="H59" s="2">
        <v>4.5999999999999996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Ruler="0" workbookViewId="0">
      <selection activeCell="B33" sqref="B33"/>
    </sheetView>
  </sheetViews>
  <sheetFormatPr baseColWidth="10" defaultRowHeight="15" x14ac:dyDescent="0"/>
  <cols>
    <col min="1" max="1" width="17.6640625" customWidth="1"/>
    <col min="2" max="2" width="67.83203125" customWidth="1"/>
    <col min="8" max="8" width="23.83203125" customWidth="1"/>
    <col min="9" max="9" width="25.6640625" customWidth="1"/>
    <col min="10" max="10" width="25.33203125" customWidth="1"/>
    <col min="11" max="11" width="29.6640625" customWidth="1"/>
    <col min="12" max="12" width="22.5" customWidth="1"/>
  </cols>
  <sheetData>
    <row r="1" spans="1:12" s="3" customFormat="1" ht="40">
      <c r="A1" s="3" t="s">
        <v>0</v>
      </c>
      <c r="B1" s="3" t="s">
        <v>8</v>
      </c>
      <c r="C1" s="3" t="s">
        <v>9</v>
      </c>
      <c r="D1" s="3" t="s">
        <v>10</v>
      </c>
      <c r="E1" s="3" t="s">
        <v>18</v>
      </c>
      <c r="F1" s="3" t="s">
        <v>29</v>
      </c>
    </row>
    <row r="2" spans="1:12" ht="18">
      <c r="A2" s="1" t="s">
        <v>1</v>
      </c>
      <c r="B2" s="2">
        <v>1</v>
      </c>
      <c r="C2" s="2">
        <v>2</v>
      </c>
      <c r="D2" s="2" t="s">
        <v>11</v>
      </c>
      <c r="E2" s="4">
        <v>2.5999999999999999E-2</v>
      </c>
      <c r="F2" s="2">
        <v>1</v>
      </c>
      <c r="G2" s="2"/>
      <c r="H2" s="2"/>
      <c r="I2" s="2"/>
      <c r="J2" s="2"/>
      <c r="K2" s="2"/>
    </row>
    <row r="4" spans="1:12">
      <c r="A4" t="s">
        <v>28</v>
      </c>
      <c r="D4" s="5">
        <v>100</v>
      </c>
      <c r="H4">
        <v>100</v>
      </c>
      <c r="I4">
        <v>1000</v>
      </c>
      <c r="J4">
        <v>10000</v>
      </c>
      <c r="K4">
        <v>100000</v>
      </c>
      <c r="L4">
        <v>1000000</v>
      </c>
    </row>
    <row r="5" spans="1:12">
      <c r="A5" t="s">
        <v>50</v>
      </c>
      <c r="D5">
        <f>D4/4.4</f>
        <v>22.727272727272727</v>
      </c>
      <c r="H5">
        <f>H4/4.4</f>
        <v>22.727272727272727</v>
      </c>
      <c r="I5">
        <f t="shared" ref="I5:L5" si="0">I4/4.4</f>
        <v>227.27272727272725</v>
      </c>
      <c r="J5">
        <f t="shared" si="0"/>
        <v>2272.7272727272725</v>
      </c>
      <c r="K5">
        <f t="shared" si="0"/>
        <v>22727.272727272724</v>
      </c>
      <c r="L5">
        <f t="shared" si="0"/>
        <v>227272.72727272726</v>
      </c>
    </row>
    <row r="6" spans="1:12">
      <c r="D6" s="5">
        <v>22</v>
      </c>
      <c r="H6">
        <v>22</v>
      </c>
      <c r="I6">
        <v>227</v>
      </c>
      <c r="J6">
        <v>2272</v>
      </c>
      <c r="K6">
        <v>22727</v>
      </c>
      <c r="L6">
        <v>227272</v>
      </c>
    </row>
    <row r="7" spans="1:12">
      <c r="A7" t="s">
        <v>53</v>
      </c>
      <c r="D7" s="5">
        <v>1</v>
      </c>
      <c r="H7">
        <f>H4/40</f>
        <v>2.5</v>
      </c>
      <c r="I7">
        <v>10</v>
      </c>
      <c r="J7">
        <v>100</v>
      </c>
      <c r="K7">
        <v>1000</v>
      </c>
      <c r="L7">
        <v>10000</v>
      </c>
    </row>
    <row r="8" spans="1:12">
      <c r="A8" t="s">
        <v>54</v>
      </c>
      <c r="D8" s="5">
        <v>1</v>
      </c>
      <c r="H8">
        <v>1</v>
      </c>
      <c r="I8">
        <v>10</v>
      </c>
      <c r="J8">
        <v>100</v>
      </c>
      <c r="K8">
        <v>1000</v>
      </c>
      <c r="L8">
        <v>10000</v>
      </c>
    </row>
    <row r="9" spans="1:12" s="6" customFormat="1">
      <c r="A9" s="6" t="s">
        <v>23</v>
      </c>
      <c r="B9" s="6" t="s">
        <v>37</v>
      </c>
      <c r="C9" s="6" t="s">
        <v>38</v>
      </c>
      <c r="D9" s="6" t="s">
        <v>28</v>
      </c>
      <c r="E9" s="6" t="s">
        <v>39</v>
      </c>
      <c r="F9" s="6" t="s">
        <v>36</v>
      </c>
      <c r="G9" s="6" t="s">
        <v>43</v>
      </c>
    </row>
    <row r="10" spans="1:12">
      <c r="A10" t="s">
        <v>42</v>
      </c>
      <c r="B10" t="s">
        <v>40</v>
      </c>
      <c r="E10" t="s">
        <v>41</v>
      </c>
      <c r="G10">
        <v>565</v>
      </c>
      <c r="H10">
        <v>1130</v>
      </c>
      <c r="I10">
        <f>G10*5</f>
        <v>2825</v>
      </c>
      <c r="J10">
        <f>G10*50</f>
        <v>28250</v>
      </c>
      <c r="K10">
        <f>G10*500</f>
        <v>282500</v>
      </c>
      <c r="L10">
        <f>G10*5000</f>
        <v>2825000</v>
      </c>
    </row>
    <row r="11" spans="1:12">
      <c r="A11" t="s">
        <v>19</v>
      </c>
      <c r="B11" t="s">
        <v>56</v>
      </c>
      <c r="C11">
        <v>10</v>
      </c>
      <c r="D11">
        <f>2.5*4*C11</f>
        <v>100</v>
      </c>
      <c r="G11">
        <v>1534</v>
      </c>
      <c r="H11">
        <f>G11*H8</f>
        <v>1534</v>
      </c>
      <c r="I11">
        <f>G11*I8</f>
        <v>15340</v>
      </c>
      <c r="J11">
        <f>G11*J8</f>
        <v>153400</v>
      </c>
      <c r="K11">
        <f>G11*K8</f>
        <v>1534000</v>
      </c>
      <c r="L11">
        <f>G11*L8</f>
        <v>15340000</v>
      </c>
    </row>
    <row r="12" spans="1:12">
      <c r="A12" t="s">
        <v>20</v>
      </c>
      <c r="B12" t="s">
        <v>57</v>
      </c>
      <c r="C12" t="s">
        <v>58</v>
      </c>
      <c r="G12">
        <v>590</v>
      </c>
      <c r="H12">
        <f>G12*H8</f>
        <v>590</v>
      </c>
      <c r="I12">
        <f>G12*I8</f>
        <v>5900</v>
      </c>
      <c r="J12">
        <f>G12*J8</f>
        <v>59000</v>
      </c>
      <c r="K12">
        <f>G12*K8</f>
        <v>590000</v>
      </c>
      <c r="L12">
        <f>G12*L8</f>
        <v>5900000</v>
      </c>
    </row>
    <row r="13" spans="1:12">
      <c r="A13" t="s">
        <v>21</v>
      </c>
      <c r="B13" t="s">
        <v>47</v>
      </c>
      <c r="C13" t="s">
        <v>48</v>
      </c>
      <c r="G13">
        <v>393</v>
      </c>
      <c r="H13">
        <f>G13*H8</f>
        <v>393</v>
      </c>
      <c r="I13">
        <f>G13*I8</f>
        <v>3930</v>
      </c>
      <c r="J13">
        <f>G13*J8</f>
        <v>39300</v>
      </c>
      <c r="K13">
        <f>G13*K8</f>
        <v>393000</v>
      </c>
      <c r="L13">
        <f>G13*L8</f>
        <v>3930000</v>
      </c>
    </row>
    <row r="14" spans="1:12">
      <c r="A14" t="s">
        <v>32</v>
      </c>
      <c r="B14" t="s">
        <v>44</v>
      </c>
      <c r="G14">
        <v>351</v>
      </c>
      <c r="H14">
        <f>G14*H8</f>
        <v>351</v>
      </c>
      <c r="I14">
        <f>G14*I8</f>
        <v>3510</v>
      </c>
      <c r="J14">
        <f>G14*J8</f>
        <v>35100</v>
      </c>
      <c r="K14">
        <f>G14*K8</f>
        <v>351000</v>
      </c>
      <c r="L14">
        <f>G14*L8</f>
        <v>3510000</v>
      </c>
    </row>
    <row r="15" spans="1:12">
      <c r="A15" t="s">
        <v>22</v>
      </c>
      <c r="B15" t="s">
        <v>55</v>
      </c>
      <c r="G15">
        <v>275</v>
      </c>
      <c r="H15">
        <v>275</v>
      </c>
      <c r="I15">
        <f>1110</f>
        <v>1110</v>
      </c>
      <c r="J15">
        <f>G15*4</f>
        <v>1100</v>
      </c>
      <c r="K15">
        <f>G15*40</f>
        <v>11000</v>
      </c>
      <c r="L15">
        <f>G15*400</f>
        <v>110000</v>
      </c>
    </row>
    <row r="16" spans="1:12">
      <c r="A16" t="s">
        <v>24</v>
      </c>
      <c r="B16" t="s">
        <v>33</v>
      </c>
      <c r="G16">
        <v>436</v>
      </c>
      <c r="H16">
        <v>436</v>
      </c>
      <c r="I16">
        <f>G16</f>
        <v>436</v>
      </c>
      <c r="J16">
        <f>G16*5</f>
        <v>2180</v>
      </c>
      <c r="K16">
        <f>G16*50</f>
        <v>21800</v>
      </c>
      <c r="L16">
        <f>G16*500</f>
        <v>218000</v>
      </c>
    </row>
    <row r="17" spans="1:12">
      <c r="A17" t="s">
        <v>25</v>
      </c>
      <c r="G17">
        <v>600000</v>
      </c>
      <c r="H17">
        <v>600000</v>
      </c>
      <c r="I17">
        <f>G17</f>
        <v>600000</v>
      </c>
      <c r="J17">
        <f>G17</f>
        <v>600000</v>
      </c>
      <c r="K17">
        <f>G17</f>
        <v>600000</v>
      </c>
      <c r="L17">
        <f>G17</f>
        <v>600000</v>
      </c>
    </row>
    <row r="18" spans="1:12">
      <c r="A18" t="s">
        <v>26</v>
      </c>
      <c r="G18">
        <f>0.162*0.7*24*5*365</f>
        <v>4966.92</v>
      </c>
      <c r="H18">
        <f>G18*H8</f>
        <v>4966.92</v>
      </c>
      <c r="I18">
        <f>G18*5</f>
        <v>24834.6</v>
      </c>
      <c r="J18">
        <f>G18*50</f>
        <v>248346</v>
      </c>
      <c r="K18">
        <f>G18*500</f>
        <v>2483460</v>
      </c>
      <c r="L18">
        <f>G18*5000</f>
        <v>24834600</v>
      </c>
    </row>
    <row r="19" spans="1:12">
      <c r="A19" t="s">
        <v>27</v>
      </c>
      <c r="G19">
        <f>0.162*0.115*24*5*365</f>
        <v>815.99400000000014</v>
      </c>
      <c r="H19">
        <f>G19*H8</f>
        <v>815.99400000000014</v>
      </c>
      <c r="I19">
        <f>G19*I8</f>
        <v>8159.9400000000014</v>
      </c>
      <c r="J19">
        <f>G19*J8</f>
        <v>81599.400000000009</v>
      </c>
      <c r="K19">
        <f>G19*K8</f>
        <v>815994.00000000012</v>
      </c>
      <c r="L19">
        <f>G19*L8</f>
        <v>8159940.0000000019</v>
      </c>
    </row>
    <row r="20" spans="1:12">
      <c r="A20" t="s">
        <v>49</v>
      </c>
      <c r="G20">
        <f t="shared" ref="G20:L20" si="1">SUM(G10:G19)</f>
        <v>609926.91399999999</v>
      </c>
      <c r="H20">
        <f t="shared" si="1"/>
        <v>610491.91399999999</v>
      </c>
      <c r="I20">
        <f t="shared" si="1"/>
        <v>666045.53999999992</v>
      </c>
      <c r="J20">
        <f t="shared" si="1"/>
        <v>1248275.3999999999</v>
      </c>
      <c r="K20">
        <f t="shared" si="1"/>
        <v>7082754</v>
      </c>
      <c r="L20">
        <f t="shared" si="1"/>
        <v>65427540</v>
      </c>
    </row>
    <row r="21" spans="1:12">
      <c r="A21" t="s">
        <v>52</v>
      </c>
      <c r="G21">
        <f>G20/(120*365)</f>
        <v>13.925272009132421</v>
      </c>
      <c r="H21">
        <f t="shared" ref="H21:L21" si="2">H20/(120*365)</f>
        <v>13.938171552511415</v>
      </c>
      <c r="I21">
        <f t="shared" si="2"/>
        <v>15.206519178082189</v>
      </c>
      <c r="J21">
        <f t="shared" si="2"/>
        <v>28.499438356164383</v>
      </c>
      <c r="K21">
        <f t="shared" si="2"/>
        <v>161.70671232876711</v>
      </c>
      <c r="L21">
        <f t="shared" si="2"/>
        <v>1493.7794520547945</v>
      </c>
    </row>
    <row r="22" spans="1:12">
      <c r="A22" t="s">
        <v>51</v>
      </c>
      <c r="G22">
        <f>G21</f>
        <v>13.925272009132421</v>
      </c>
      <c r="H22">
        <f>H21/H6</f>
        <v>0.63355325238688254</v>
      </c>
      <c r="I22">
        <f>I21/I6</f>
        <v>6.698907126908453E-2</v>
      </c>
      <c r="J22">
        <f>J21/J6</f>
        <v>1.2543766882114605E-2</v>
      </c>
      <c r="K22">
        <f>K21/K6</f>
        <v>7.1151807246344484E-3</v>
      </c>
      <c r="L22">
        <f>L21/L6</f>
        <v>6.5726506215230849E-3</v>
      </c>
    </row>
    <row r="26" spans="1:12">
      <c r="B26">
        <v>1</v>
      </c>
      <c r="C26">
        <v>10</v>
      </c>
      <c r="D26">
        <v>35.200000000000003</v>
      </c>
      <c r="E26">
        <v>100</v>
      </c>
      <c r="F26">
        <v>1000</v>
      </c>
      <c r="G26">
        <v>10000</v>
      </c>
      <c r="H26">
        <v>100000</v>
      </c>
      <c r="I26">
        <v>1000000</v>
      </c>
    </row>
    <row r="27" spans="1:12">
      <c r="B27">
        <f>G22</f>
        <v>13.925272009132421</v>
      </c>
      <c r="C27">
        <f>G22</f>
        <v>13.925272009132421</v>
      </c>
      <c r="D27" s="5">
        <f>G22</f>
        <v>13.925272009132421</v>
      </c>
      <c r="E27">
        <f>G22</f>
        <v>13.925272009132421</v>
      </c>
      <c r="F27">
        <f>I22</f>
        <v>6.698907126908453E-2</v>
      </c>
      <c r="G27">
        <f>J22</f>
        <v>1.2543766882114605E-2</v>
      </c>
      <c r="H27">
        <f>K22</f>
        <v>7.1151807246344484E-3</v>
      </c>
      <c r="I27">
        <f>L22</f>
        <v>6.5726506215230849E-3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Ruler="0" workbookViewId="0">
      <selection activeCell="A29" sqref="A4:XFD29"/>
    </sheetView>
  </sheetViews>
  <sheetFormatPr baseColWidth="10" defaultRowHeight="15" x14ac:dyDescent="0"/>
  <cols>
    <col min="2" max="2" width="21.6640625" customWidth="1"/>
    <col min="7" max="7" width="20.5" customWidth="1"/>
    <col min="8" max="8" width="21.33203125" customWidth="1"/>
    <col min="9" max="9" width="20.83203125" customWidth="1"/>
    <col min="10" max="10" width="19.5" customWidth="1"/>
    <col min="11" max="11" width="24.83203125" customWidth="1"/>
  </cols>
  <sheetData>
    <row r="1" spans="1:12" s="3" customFormat="1" ht="40">
      <c r="A1" s="3" t="s">
        <v>0</v>
      </c>
      <c r="B1" s="3" t="s">
        <v>8</v>
      </c>
      <c r="C1" s="3" t="s">
        <v>9</v>
      </c>
      <c r="D1" s="3" t="s">
        <v>10</v>
      </c>
      <c r="E1" s="3" t="s">
        <v>18</v>
      </c>
      <c r="F1" s="3" t="s">
        <v>29</v>
      </c>
    </row>
    <row r="2" spans="1:12" ht="18">
      <c r="A2" s="1" t="s">
        <v>2</v>
      </c>
      <c r="B2" s="2">
        <v>2</v>
      </c>
      <c r="C2" s="2">
        <v>7.5</v>
      </c>
      <c r="D2" s="2" t="s">
        <v>12</v>
      </c>
      <c r="E2" s="2">
        <v>0.14000000000000001</v>
      </c>
      <c r="F2" s="2">
        <v>6.5</v>
      </c>
      <c r="G2" s="2"/>
      <c r="H2" s="2"/>
      <c r="I2" s="2"/>
      <c r="J2" s="2"/>
      <c r="K2" s="2"/>
    </row>
    <row r="4" spans="1:12">
      <c r="A4" t="s">
        <v>28</v>
      </c>
      <c r="D4" s="5">
        <v>100</v>
      </c>
      <c r="H4">
        <v>100</v>
      </c>
      <c r="I4">
        <v>1000</v>
      </c>
      <c r="J4">
        <v>10000</v>
      </c>
      <c r="K4">
        <v>100000</v>
      </c>
      <c r="L4">
        <v>1000000</v>
      </c>
    </row>
    <row r="5" spans="1:12">
      <c r="A5" t="s">
        <v>50</v>
      </c>
      <c r="D5">
        <f>D4/4.4</f>
        <v>22.727272727272727</v>
      </c>
      <c r="H5">
        <f>H4/(4.4*6.5)</f>
        <v>3.4965034965034962</v>
      </c>
      <c r="I5">
        <f>I4/(4.4*6.5)</f>
        <v>34.965034965034967</v>
      </c>
      <c r="J5">
        <f t="shared" ref="J5:L5" si="0">J4/(4.4*6.5)</f>
        <v>349.65034965034965</v>
      </c>
      <c r="K5">
        <f t="shared" si="0"/>
        <v>3496.5034965034965</v>
      </c>
      <c r="L5">
        <f t="shared" si="0"/>
        <v>34965.03496503496</v>
      </c>
    </row>
    <row r="6" spans="1:12">
      <c r="D6" s="5">
        <v>22</v>
      </c>
      <c r="H6">
        <v>3</v>
      </c>
      <c r="I6">
        <v>34</v>
      </c>
      <c r="J6">
        <v>349</v>
      </c>
      <c r="K6">
        <v>3496</v>
      </c>
      <c r="L6">
        <v>34965</v>
      </c>
    </row>
    <row r="7" spans="1:12">
      <c r="A7" t="s">
        <v>53</v>
      </c>
      <c r="D7" s="5">
        <v>1</v>
      </c>
      <c r="H7">
        <f>H4/40</f>
        <v>2.5</v>
      </c>
      <c r="I7">
        <v>10</v>
      </c>
      <c r="J7">
        <v>100</v>
      </c>
      <c r="K7">
        <v>1000</v>
      </c>
      <c r="L7">
        <v>10000</v>
      </c>
    </row>
    <row r="8" spans="1:12">
      <c r="A8" t="s">
        <v>54</v>
      </c>
      <c r="D8" s="5">
        <v>1</v>
      </c>
      <c r="H8">
        <v>1</v>
      </c>
      <c r="I8">
        <v>10</v>
      </c>
      <c r="J8">
        <v>100</v>
      </c>
      <c r="K8">
        <v>1000</v>
      </c>
      <c r="L8">
        <v>10000</v>
      </c>
    </row>
    <row r="9" spans="1:12" s="6" customFormat="1">
      <c r="A9" s="6" t="s">
        <v>23</v>
      </c>
      <c r="B9" s="6" t="s">
        <v>37</v>
      </c>
      <c r="C9" s="6" t="s">
        <v>38</v>
      </c>
      <c r="D9" s="6" t="s">
        <v>28</v>
      </c>
      <c r="E9" s="6" t="s">
        <v>39</v>
      </c>
      <c r="F9" s="6" t="s">
        <v>36</v>
      </c>
      <c r="G9" s="6" t="s">
        <v>43</v>
      </c>
    </row>
    <row r="10" spans="1:12">
      <c r="A10" t="s">
        <v>42</v>
      </c>
      <c r="B10" t="s">
        <v>40</v>
      </c>
      <c r="E10" t="s">
        <v>41</v>
      </c>
      <c r="G10">
        <v>565</v>
      </c>
      <c r="H10">
        <v>1130</v>
      </c>
      <c r="I10">
        <f>G10*5</f>
        <v>2825</v>
      </c>
      <c r="J10">
        <f>G10*50</f>
        <v>28250</v>
      </c>
      <c r="K10">
        <f>G10*500</f>
        <v>282500</v>
      </c>
      <c r="L10">
        <f>G10*5000</f>
        <v>2825000</v>
      </c>
    </row>
    <row r="11" spans="1:12">
      <c r="A11" t="s">
        <v>19</v>
      </c>
      <c r="B11" t="s">
        <v>56</v>
      </c>
      <c r="C11">
        <v>10</v>
      </c>
      <c r="D11">
        <f>2.5*4*C11</f>
        <v>100</v>
      </c>
      <c r="G11">
        <v>1534</v>
      </c>
      <c r="H11">
        <f>G11*H8</f>
        <v>1534</v>
      </c>
      <c r="I11">
        <f>G11*I8</f>
        <v>15340</v>
      </c>
      <c r="J11">
        <f>G11*J8</f>
        <v>153400</v>
      </c>
      <c r="K11">
        <f>G11*K8</f>
        <v>1534000</v>
      </c>
      <c r="L11">
        <f>G11*L8</f>
        <v>15340000</v>
      </c>
    </row>
    <row r="12" spans="1:12">
      <c r="A12" t="s">
        <v>20</v>
      </c>
      <c r="B12" t="s">
        <v>45</v>
      </c>
      <c r="C12" t="s">
        <v>46</v>
      </c>
      <c r="G12">
        <v>354</v>
      </c>
      <c r="H12">
        <f>G12*H8</f>
        <v>354</v>
      </c>
      <c r="I12">
        <f>G12*I8</f>
        <v>3540</v>
      </c>
      <c r="J12">
        <f>G12*J8</f>
        <v>35400</v>
      </c>
      <c r="K12">
        <f>G12*K8</f>
        <v>354000</v>
      </c>
      <c r="L12">
        <f>G12*L8</f>
        <v>3540000</v>
      </c>
    </row>
    <row r="13" spans="1:12">
      <c r="A13" t="s">
        <v>21</v>
      </c>
      <c r="B13" t="s">
        <v>59</v>
      </c>
      <c r="C13" t="s">
        <v>60</v>
      </c>
      <c r="G13">
        <v>190</v>
      </c>
      <c r="H13">
        <f>G13*H8</f>
        <v>190</v>
      </c>
      <c r="I13">
        <f>G13*I8</f>
        <v>1900</v>
      </c>
      <c r="J13">
        <f>G13*J8</f>
        <v>19000</v>
      </c>
      <c r="K13">
        <f>G13*K8</f>
        <v>190000</v>
      </c>
      <c r="L13">
        <f>G13*L8</f>
        <v>1900000</v>
      </c>
    </row>
    <row r="14" spans="1:12">
      <c r="A14" t="s">
        <v>32</v>
      </c>
      <c r="B14" t="s">
        <v>44</v>
      </c>
      <c r="G14">
        <v>351</v>
      </c>
      <c r="H14">
        <f>G14*H8</f>
        <v>351</v>
      </c>
      <c r="I14">
        <f>G14*I8</f>
        <v>3510</v>
      </c>
      <c r="J14">
        <f>G14*J8</f>
        <v>35100</v>
      </c>
      <c r="K14">
        <f>G14*K8</f>
        <v>351000</v>
      </c>
      <c r="L14">
        <f>G14*L8</f>
        <v>3510000</v>
      </c>
    </row>
    <row r="15" spans="1:12">
      <c r="A15" t="s">
        <v>22</v>
      </c>
      <c r="B15" t="s">
        <v>55</v>
      </c>
      <c r="G15">
        <v>275</v>
      </c>
      <c r="H15">
        <v>275</v>
      </c>
      <c r="I15">
        <f>1110</f>
        <v>1110</v>
      </c>
      <c r="J15">
        <f>G15*4</f>
        <v>1100</v>
      </c>
      <c r="K15">
        <f>G15*40</f>
        <v>11000</v>
      </c>
      <c r="L15">
        <f>G15*400</f>
        <v>110000</v>
      </c>
    </row>
    <row r="16" spans="1:12">
      <c r="A16" t="s">
        <v>24</v>
      </c>
      <c r="B16" t="s">
        <v>33</v>
      </c>
      <c r="G16">
        <v>436</v>
      </c>
      <c r="H16">
        <v>436</v>
      </c>
      <c r="I16">
        <f>G16</f>
        <v>436</v>
      </c>
      <c r="J16">
        <f>G16*5</f>
        <v>2180</v>
      </c>
      <c r="K16">
        <f>G16*50</f>
        <v>21800</v>
      </c>
      <c r="L16">
        <f>G16*500</f>
        <v>218000</v>
      </c>
    </row>
    <row r="17" spans="1:12">
      <c r="A17" t="s">
        <v>25</v>
      </c>
      <c r="G17">
        <v>600000</v>
      </c>
      <c r="H17">
        <v>600000</v>
      </c>
      <c r="I17">
        <f>G17</f>
        <v>600000</v>
      </c>
      <c r="J17">
        <f>G17</f>
        <v>600000</v>
      </c>
      <c r="K17">
        <f>G17</f>
        <v>600000</v>
      </c>
      <c r="L17">
        <f>G17</f>
        <v>600000</v>
      </c>
    </row>
    <row r="18" spans="1:12">
      <c r="A18" t="s">
        <v>26</v>
      </c>
      <c r="G18">
        <f>0.162*0.7*24*5*365</f>
        <v>4966.92</v>
      </c>
      <c r="H18">
        <f>G18*H8</f>
        <v>4966.92</v>
      </c>
      <c r="I18">
        <f>G18*5</f>
        <v>24834.6</v>
      </c>
      <c r="J18">
        <f>G18*50</f>
        <v>248346</v>
      </c>
      <c r="K18">
        <f>G18*500</f>
        <v>2483460</v>
      </c>
      <c r="L18">
        <f>G18*5000</f>
        <v>24834600</v>
      </c>
    </row>
    <row r="19" spans="1:12">
      <c r="A19" t="s">
        <v>27</v>
      </c>
      <c r="G19">
        <f>0.162*0.115*24*5*365</f>
        <v>815.99400000000014</v>
      </c>
      <c r="H19">
        <f>G19*H8</f>
        <v>815.99400000000014</v>
      </c>
      <c r="I19">
        <f>G19*I8</f>
        <v>8159.9400000000014</v>
      </c>
      <c r="J19">
        <f>G19*J8</f>
        <v>81599.400000000009</v>
      </c>
      <c r="K19">
        <f>G19*K8</f>
        <v>815994.00000000012</v>
      </c>
      <c r="L19">
        <f>G19*L8</f>
        <v>8159940.0000000019</v>
      </c>
    </row>
    <row r="20" spans="1:12">
      <c r="A20" t="s">
        <v>49</v>
      </c>
      <c r="G20">
        <f t="shared" ref="G20:L20" si="1">SUM(G10:G19)</f>
        <v>609487.91399999999</v>
      </c>
      <c r="H20">
        <f t="shared" si="1"/>
        <v>610052.91399999999</v>
      </c>
      <c r="I20">
        <f t="shared" si="1"/>
        <v>661655.53999999992</v>
      </c>
      <c r="J20">
        <f t="shared" si="1"/>
        <v>1204375.3999999999</v>
      </c>
      <c r="K20">
        <f t="shared" si="1"/>
        <v>6643754</v>
      </c>
      <c r="L20">
        <f t="shared" si="1"/>
        <v>61037540</v>
      </c>
    </row>
    <row r="21" spans="1:12">
      <c r="A21" t="s">
        <v>52</v>
      </c>
      <c r="G21">
        <f>G20/(120*365)</f>
        <v>13.915249178082192</v>
      </c>
      <c r="H21">
        <f t="shared" ref="H21:L21" si="2">H20/(120*365)</f>
        <v>13.928148721461186</v>
      </c>
      <c r="I21">
        <f t="shared" si="2"/>
        <v>15.106290867579906</v>
      </c>
      <c r="J21">
        <f t="shared" si="2"/>
        <v>27.49715525114155</v>
      </c>
      <c r="K21">
        <f t="shared" si="2"/>
        <v>151.68388127853882</v>
      </c>
      <c r="L21">
        <f t="shared" si="2"/>
        <v>1393.5511415525114</v>
      </c>
    </row>
    <row r="22" spans="1:12">
      <c r="A22" t="s">
        <v>51</v>
      </c>
      <c r="G22">
        <f>G21</f>
        <v>13.915249178082192</v>
      </c>
      <c r="H22">
        <f>H21/H6</f>
        <v>4.6427162404870623</v>
      </c>
      <c r="I22">
        <f>I21/I6</f>
        <v>0.44430267257587958</v>
      </c>
      <c r="J22">
        <f>J21/J6</f>
        <v>7.8788410461723635E-2</v>
      </c>
      <c r="K22">
        <f>K21/K6</f>
        <v>4.3387837894318881E-2</v>
      </c>
      <c r="L22">
        <f>L21/L6</f>
        <v>3.9855602504004328E-2</v>
      </c>
    </row>
    <row r="26" spans="1:12">
      <c r="B26">
        <v>1</v>
      </c>
      <c r="C26">
        <v>10</v>
      </c>
      <c r="D26">
        <v>35.200000000000003</v>
      </c>
      <c r="E26">
        <v>100</v>
      </c>
      <c r="F26">
        <v>1000</v>
      </c>
      <c r="G26">
        <v>10000</v>
      </c>
      <c r="H26">
        <v>100000</v>
      </c>
      <c r="I26">
        <v>1000000</v>
      </c>
    </row>
    <row r="27" spans="1:12">
      <c r="B27">
        <f>G22</f>
        <v>13.915249178082192</v>
      </c>
      <c r="C27">
        <f>G22</f>
        <v>13.915249178082192</v>
      </c>
      <c r="D27" s="5">
        <f>G22</f>
        <v>13.915249178082192</v>
      </c>
      <c r="E27">
        <f>G22</f>
        <v>13.915249178082192</v>
      </c>
      <c r="F27">
        <f>I22</f>
        <v>0.44430267257587958</v>
      </c>
      <c r="G27">
        <f>J22</f>
        <v>7.8788410461723635E-2</v>
      </c>
      <c r="H27">
        <f>K22</f>
        <v>4.3387837894318881E-2</v>
      </c>
      <c r="I27">
        <f>L22</f>
        <v>3.9855602504004328E-2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Ruler="0" workbookViewId="0">
      <selection activeCell="A29" sqref="A5:XFD29"/>
    </sheetView>
  </sheetViews>
  <sheetFormatPr baseColWidth="10" defaultRowHeight="15" x14ac:dyDescent="0"/>
  <cols>
    <col min="1" max="1" width="18.83203125" customWidth="1"/>
    <col min="2" max="2" width="17.83203125" customWidth="1"/>
    <col min="6" max="6" width="4.1640625" customWidth="1"/>
    <col min="7" max="7" width="20.1640625" customWidth="1"/>
    <col min="8" max="8" width="20.6640625" customWidth="1"/>
    <col min="9" max="9" width="26" customWidth="1"/>
    <col min="10" max="10" width="23.1640625" customWidth="1"/>
    <col min="11" max="11" width="21.1640625" customWidth="1"/>
  </cols>
  <sheetData>
    <row r="1" spans="1:12" s="3" customFormat="1" ht="60">
      <c r="A1" s="3" t="s">
        <v>0</v>
      </c>
      <c r="B1" s="3" t="s">
        <v>8</v>
      </c>
      <c r="C1" s="3" t="s">
        <v>9</v>
      </c>
      <c r="D1" s="3" t="s">
        <v>10</v>
      </c>
      <c r="E1" s="3" t="s">
        <v>18</v>
      </c>
      <c r="F1" s="3" t="s">
        <v>29</v>
      </c>
      <c r="G1" s="3" t="s">
        <v>28</v>
      </c>
    </row>
    <row r="2" spans="1:12" ht="18">
      <c r="A2" s="1" t="s">
        <v>3</v>
      </c>
      <c r="B2" s="2">
        <v>32</v>
      </c>
      <c r="C2" s="2">
        <v>60</v>
      </c>
      <c r="D2" s="2" t="s">
        <v>13</v>
      </c>
      <c r="E2" s="2">
        <v>1.68</v>
      </c>
      <c r="F2" s="2">
        <v>108</v>
      </c>
      <c r="G2" s="2">
        <f>F2*4.4</f>
        <v>475.20000000000005</v>
      </c>
      <c r="H2" s="2"/>
      <c r="I2" s="2"/>
      <c r="J2" s="2"/>
      <c r="K2" s="2"/>
    </row>
    <row r="4" spans="1:12">
      <c r="D4">
        <v>140</v>
      </c>
      <c r="G4">
        <v>100</v>
      </c>
      <c r="H4">
        <v>1000</v>
      </c>
      <c r="I4">
        <v>10000</v>
      </c>
      <c r="J4">
        <v>100000</v>
      </c>
      <c r="K4">
        <v>1000000</v>
      </c>
    </row>
    <row r="5" spans="1:12">
      <c r="A5" t="s">
        <v>28</v>
      </c>
      <c r="D5" s="5">
        <v>100</v>
      </c>
      <c r="G5">
        <v>515</v>
      </c>
      <c r="H5">
        <v>100</v>
      </c>
      <c r="I5">
        <v>1000</v>
      </c>
      <c r="J5">
        <v>10000</v>
      </c>
      <c r="K5">
        <v>100000</v>
      </c>
      <c r="L5">
        <v>1000000</v>
      </c>
    </row>
    <row r="6" spans="1:12">
      <c r="A6" t="s">
        <v>50</v>
      </c>
      <c r="D6">
        <f>D5/4.4</f>
        <v>22.727272727272727</v>
      </c>
      <c r="G6">
        <v>1</v>
      </c>
      <c r="H6">
        <f>H5/(4.4*6.5)</f>
        <v>3.4965034965034962</v>
      </c>
      <c r="I6">
        <f>I5/(4.4*108)</f>
        <v>2.1043771043771042</v>
      </c>
      <c r="J6">
        <f t="shared" ref="J6:L6" si="0">J5/(4.4*108)</f>
        <v>21.043771043771041</v>
      </c>
      <c r="K6">
        <f t="shared" si="0"/>
        <v>210.43771043771042</v>
      </c>
      <c r="L6">
        <f t="shared" si="0"/>
        <v>2104.3771043771044</v>
      </c>
    </row>
    <row r="7" spans="1:12">
      <c r="D7" s="5">
        <v>22</v>
      </c>
      <c r="H7">
        <v>3</v>
      </c>
      <c r="I7">
        <v>2</v>
      </c>
      <c r="J7">
        <v>21</v>
      </c>
      <c r="K7">
        <v>210</v>
      </c>
      <c r="L7">
        <v>2104</v>
      </c>
    </row>
    <row r="8" spans="1:12">
      <c r="A8" t="s">
        <v>53</v>
      </c>
      <c r="D8" s="5">
        <v>1</v>
      </c>
      <c r="G8">
        <v>1</v>
      </c>
      <c r="H8">
        <f>H5/515</f>
        <v>0.1941747572815534</v>
      </c>
      <c r="I8">
        <f t="shared" ref="I8:L8" si="1">I5/515</f>
        <v>1.941747572815534</v>
      </c>
      <c r="J8">
        <f t="shared" si="1"/>
        <v>19.417475728155338</v>
      </c>
      <c r="K8">
        <f t="shared" si="1"/>
        <v>194.17475728155341</v>
      </c>
      <c r="L8">
        <f t="shared" si="1"/>
        <v>1941.7475728155339</v>
      </c>
    </row>
    <row r="9" spans="1:12">
      <c r="A9" t="s">
        <v>54</v>
      </c>
      <c r="D9" s="5">
        <v>1</v>
      </c>
      <c r="G9">
        <v>1</v>
      </c>
      <c r="H9">
        <v>1</v>
      </c>
      <c r="I9">
        <v>2</v>
      </c>
      <c r="J9">
        <v>20</v>
      </c>
      <c r="K9">
        <v>195</v>
      </c>
      <c r="L9">
        <v>1942</v>
      </c>
    </row>
    <row r="10" spans="1:12">
      <c r="A10" s="6" t="s">
        <v>23</v>
      </c>
      <c r="B10" s="6" t="s">
        <v>37</v>
      </c>
      <c r="C10" s="6" t="s">
        <v>38</v>
      </c>
      <c r="D10" s="6" t="s">
        <v>28</v>
      </c>
      <c r="E10" s="6" t="s">
        <v>39</v>
      </c>
      <c r="F10" s="6" t="s">
        <v>36</v>
      </c>
      <c r="G10" s="6" t="s">
        <v>43</v>
      </c>
      <c r="H10" s="6"/>
      <c r="I10" s="6"/>
      <c r="J10" s="6"/>
      <c r="K10" s="6"/>
      <c r="L10" s="6"/>
    </row>
    <row r="11" spans="1:12">
      <c r="A11" t="s">
        <v>42</v>
      </c>
      <c r="B11" t="s">
        <v>40</v>
      </c>
      <c r="E11" t="s">
        <v>41</v>
      </c>
      <c r="G11">
        <v>565</v>
      </c>
      <c r="H11">
        <v>1130</v>
      </c>
      <c r="I11">
        <f>G11*1</f>
        <v>565</v>
      </c>
      <c r="J11">
        <f>G11*10</f>
        <v>5650</v>
      </c>
      <c r="K11">
        <f>G11*98</f>
        <v>55370</v>
      </c>
      <c r="L11">
        <f>G11*971</f>
        <v>548615</v>
      </c>
    </row>
    <row r="12" spans="1:12">
      <c r="A12" t="s">
        <v>19</v>
      </c>
      <c r="B12" t="s">
        <v>61</v>
      </c>
      <c r="C12">
        <v>14</v>
      </c>
      <c r="D12">
        <f>2.3*16*C12</f>
        <v>515.19999999999993</v>
      </c>
      <c r="G12">
        <v>2340</v>
      </c>
      <c r="H12">
        <f>G12*H9</f>
        <v>2340</v>
      </c>
      <c r="I12">
        <f>G12*I9</f>
        <v>4680</v>
      </c>
      <c r="J12">
        <f>G12*J9</f>
        <v>46800</v>
      </c>
      <c r="K12">
        <f>G12*K9</f>
        <v>456300</v>
      </c>
      <c r="L12">
        <f>G12*L9</f>
        <v>4544280</v>
      </c>
    </row>
    <row r="13" spans="1:12">
      <c r="A13" t="s">
        <v>20</v>
      </c>
      <c r="B13" t="s">
        <v>85</v>
      </c>
      <c r="C13" t="s">
        <v>30</v>
      </c>
      <c r="G13">
        <v>1084</v>
      </c>
      <c r="H13">
        <f>G13*H9</f>
        <v>1084</v>
      </c>
      <c r="I13">
        <f>G13*I9</f>
        <v>2168</v>
      </c>
      <c r="J13">
        <f>G13*J9</f>
        <v>21680</v>
      </c>
      <c r="K13">
        <f>G13*K9</f>
        <v>211380</v>
      </c>
      <c r="L13">
        <f>G13*L9</f>
        <v>2105128</v>
      </c>
    </row>
    <row r="14" spans="1:12">
      <c r="A14" t="s">
        <v>21</v>
      </c>
      <c r="B14" t="s">
        <v>31</v>
      </c>
      <c r="C14" t="s">
        <v>62</v>
      </c>
      <c r="G14">
        <v>2500</v>
      </c>
      <c r="H14">
        <f>G14*H9</f>
        <v>2500</v>
      </c>
      <c r="I14">
        <f>G14*I9</f>
        <v>5000</v>
      </c>
      <c r="J14">
        <f>G14*J9</f>
        <v>50000</v>
      </c>
      <c r="K14">
        <f>G14*K9</f>
        <v>487500</v>
      </c>
      <c r="L14">
        <f>G14*L9</f>
        <v>4855000</v>
      </c>
    </row>
    <row r="15" spans="1:12">
      <c r="A15" t="s">
        <v>32</v>
      </c>
      <c r="B15" t="s">
        <v>63</v>
      </c>
      <c r="G15">
        <v>270</v>
      </c>
      <c r="H15">
        <f>G15*H9</f>
        <v>270</v>
      </c>
      <c r="I15">
        <f>G15*I9</f>
        <v>540</v>
      </c>
      <c r="J15">
        <f>G15*J9</f>
        <v>5400</v>
      </c>
      <c r="K15">
        <f>G15*K9</f>
        <v>52650</v>
      </c>
      <c r="L15">
        <f>G15*L9</f>
        <v>524340</v>
      </c>
    </row>
    <row r="16" spans="1:12">
      <c r="A16" t="s">
        <v>22</v>
      </c>
      <c r="B16" t="s">
        <v>55</v>
      </c>
      <c r="G16">
        <v>275</v>
      </c>
      <c r="H16">
        <v>275</v>
      </c>
      <c r="I16">
        <v>275</v>
      </c>
      <c r="J16">
        <v>275</v>
      </c>
      <c r="K16">
        <f>G16*8</f>
        <v>2200</v>
      </c>
      <c r="L16">
        <f>G16*80</f>
        <v>22000</v>
      </c>
    </row>
    <row r="17" spans="1:12">
      <c r="A17" t="s">
        <v>24</v>
      </c>
      <c r="B17" t="s">
        <v>33</v>
      </c>
      <c r="G17">
        <v>436</v>
      </c>
      <c r="H17">
        <v>436</v>
      </c>
      <c r="I17">
        <f>G17</f>
        <v>436</v>
      </c>
      <c r="J17">
        <v>436</v>
      </c>
      <c r="K17">
        <f>G17*8</f>
        <v>3488</v>
      </c>
      <c r="L17">
        <f>G17*80</f>
        <v>34880</v>
      </c>
    </row>
    <row r="18" spans="1:12">
      <c r="A18" t="s">
        <v>25</v>
      </c>
      <c r="G18">
        <v>600000</v>
      </c>
      <c r="H18">
        <v>600000</v>
      </c>
      <c r="I18">
        <f>G18</f>
        <v>600000</v>
      </c>
      <c r="J18">
        <f>G18</f>
        <v>600000</v>
      </c>
      <c r="K18">
        <f>G18</f>
        <v>600000</v>
      </c>
      <c r="L18">
        <f>G18</f>
        <v>600000</v>
      </c>
    </row>
    <row r="19" spans="1:12">
      <c r="A19" t="s">
        <v>26</v>
      </c>
      <c r="G19">
        <f>0.162*0.7*24*5*365</f>
        <v>4966.92</v>
      </c>
      <c r="H19">
        <f>G19*H9</f>
        <v>4966.92</v>
      </c>
      <c r="I19">
        <f>G19</f>
        <v>4966.92</v>
      </c>
      <c r="J19">
        <f>G19*10</f>
        <v>49669.2</v>
      </c>
      <c r="K19">
        <f>G19*98</f>
        <v>486758.16000000003</v>
      </c>
      <c r="L19">
        <f>G19*971</f>
        <v>4822879.32</v>
      </c>
    </row>
    <row r="20" spans="1:12">
      <c r="A20" t="s">
        <v>27</v>
      </c>
      <c r="G20">
        <f>0.162*0.135*24*5*365</f>
        <v>957.90600000000006</v>
      </c>
      <c r="H20">
        <f>G20*H9</f>
        <v>957.90600000000006</v>
      </c>
      <c r="I20">
        <f>G20*I9</f>
        <v>1915.8120000000001</v>
      </c>
      <c r="J20">
        <f>G20*J9</f>
        <v>19158.120000000003</v>
      </c>
      <c r="K20">
        <f>G20*K9</f>
        <v>186791.67</v>
      </c>
      <c r="L20">
        <f>G20*L9</f>
        <v>1860253.452</v>
      </c>
    </row>
    <row r="21" spans="1:12">
      <c r="A21" t="s">
        <v>49</v>
      </c>
      <c r="G21">
        <f t="shared" ref="G21:L21" si="2">SUM(G11:G20)</f>
        <v>613394.826</v>
      </c>
      <c r="H21">
        <f t="shared" si="2"/>
        <v>613959.826</v>
      </c>
      <c r="I21">
        <f t="shared" si="2"/>
        <v>620546.73200000008</v>
      </c>
      <c r="J21">
        <f t="shared" si="2"/>
        <v>799068.32</v>
      </c>
      <c r="K21">
        <f t="shared" si="2"/>
        <v>2542437.83</v>
      </c>
      <c r="L21">
        <f t="shared" si="2"/>
        <v>19917375.772</v>
      </c>
    </row>
    <row r="22" spans="1:12">
      <c r="A22" t="s">
        <v>52</v>
      </c>
      <c r="G22">
        <f>G21/(120*365)</f>
        <v>14.004448082191781</v>
      </c>
      <c r="H22">
        <f t="shared" ref="H22:L22" si="3">H21/(120*365)</f>
        <v>14.017347625570777</v>
      </c>
      <c r="I22">
        <f t="shared" si="3"/>
        <v>14.167733607305937</v>
      </c>
      <c r="J22">
        <f t="shared" si="3"/>
        <v>18.243568949771689</v>
      </c>
      <c r="K22">
        <f t="shared" si="3"/>
        <v>58.046525799086758</v>
      </c>
      <c r="L22">
        <f t="shared" si="3"/>
        <v>454.73460666666665</v>
      </c>
    </row>
    <row r="23" spans="1:12">
      <c r="A23" t="s">
        <v>51</v>
      </c>
      <c r="G23">
        <f>G22</f>
        <v>14.004448082191781</v>
      </c>
      <c r="H23">
        <f>H22/H7</f>
        <v>4.6724492085235925</v>
      </c>
      <c r="I23">
        <f>I22/I7</f>
        <v>7.0838668036529686</v>
      </c>
      <c r="J23">
        <f>J22/J7</f>
        <v>0.86874137856055655</v>
      </c>
      <c r="K23">
        <f>K22/K7</f>
        <v>0.27641202761469885</v>
      </c>
      <c r="L23">
        <f>L22/L7</f>
        <v>0.21612861533586819</v>
      </c>
    </row>
    <row r="27" spans="1:12">
      <c r="B27">
        <v>1</v>
      </c>
      <c r="C27">
        <v>10</v>
      </c>
      <c r="D27">
        <v>35.200000000000003</v>
      </c>
      <c r="E27">
        <v>100</v>
      </c>
      <c r="F27">
        <v>1000</v>
      </c>
      <c r="G27">
        <v>10000</v>
      </c>
      <c r="H27">
        <v>100000</v>
      </c>
      <c r="I27">
        <v>1000000</v>
      </c>
    </row>
    <row r="28" spans="1:12">
      <c r="B28">
        <f>G23</f>
        <v>14.004448082191781</v>
      </c>
      <c r="C28">
        <f>G23</f>
        <v>14.004448082191781</v>
      </c>
      <c r="D28" s="5">
        <f>G23</f>
        <v>14.004448082191781</v>
      </c>
      <c r="E28">
        <f>G23</f>
        <v>14.004448082191781</v>
      </c>
      <c r="F28">
        <f>I23</f>
        <v>7.0838668036529686</v>
      </c>
      <c r="G28">
        <f>J23</f>
        <v>0.86874137856055655</v>
      </c>
      <c r="H28">
        <f>K23</f>
        <v>0.27641202761469885</v>
      </c>
      <c r="I28">
        <f>L23</f>
        <v>0.21612861533586819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Ruler="0" workbookViewId="0">
      <selection activeCell="A29" sqref="A4:XFD29"/>
    </sheetView>
  </sheetViews>
  <sheetFormatPr baseColWidth="10" defaultRowHeight="15" x14ac:dyDescent="0"/>
  <cols>
    <col min="1" max="1" width="16.83203125" customWidth="1"/>
    <col min="7" max="7" width="19.6640625" customWidth="1"/>
    <col min="8" max="8" width="23" customWidth="1"/>
    <col min="9" max="9" width="25" customWidth="1"/>
    <col min="10" max="10" width="22.5" customWidth="1"/>
    <col min="11" max="11" width="23.83203125" customWidth="1"/>
  </cols>
  <sheetData>
    <row r="1" spans="1:12" s="3" customFormat="1" ht="40">
      <c r="A1" s="3" t="s">
        <v>0</v>
      </c>
      <c r="B1" s="3" t="s">
        <v>8</v>
      </c>
      <c r="C1" s="3" t="s">
        <v>9</v>
      </c>
      <c r="D1" s="3" t="s">
        <v>10</v>
      </c>
      <c r="E1" s="3" t="s">
        <v>18</v>
      </c>
      <c r="F1" s="3" t="s">
        <v>29</v>
      </c>
      <c r="G1" s="3" t="s">
        <v>28</v>
      </c>
    </row>
    <row r="2" spans="1:12" ht="18">
      <c r="A2" s="1" t="s">
        <v>4</v>
      </c>
      <c r="B2" s="2">
        <v>8</v>
      </c>
      <c r="C2" s="2">
        <v>15</v>
      </c>
      <c r="D2" s="2" t="s">
        <v>14</v>
      </c>
      <c r="E2" s="2">
        <v>0.65</v>
      </c>
      <c r="F2" s="2">
        <v>26</v>
      </c>
      <c r="G2" s="2">
        <f>F2*4.4</f>
        <v>114.4</v>
      </c>
      <c r="H2" s="2"/>
      <c r="I2" s="2"/>
      <c r="J2" s="2"/>
      <c r="K2" s="2"/>
    </row>
    <row r="4" spans="1:12">
      <c r="A4" t="s">
        <v>28</v>
      </c>
      <c r="D4" s="5">
        <v>100</v>
      </c>
      <c r="G4">
        <v>2200</v>
      </c>
      <c r="H4">
        <v>100</v>
      </c>
      <c r="I4">
        <v>1000</v>
      </c>
      <c r="J4">
        <v>10000</v>
      </c>
      <c r="K4">
        <v>100000</v>
      </c>
      <c r="L4">
        <v>1000000</v>
      </c>
    </row>
    <row r="5" spans="1:12">
      <c r="A5" t="s">
        <v>50</v>
      </c>
      <c r="D5">
        <f>D4/4.4</f>
        <v>22.727272727272727</v>
      </c>
      <c r="G5">
        <f>G4/114.4</f>
        <v>19.23076923076923</v>
      </c>
      <c r="H5">
        <f>H4/(4.4*6.5)</f>
        <v>3.4965034965034962</v>
      </c>
      <c r="I5">
        <f>I4/(4.4*6.5)</f>
        <v>34.965034965034967</v>
      </c>
      <c r="J5">
        <f>J4/(4.4*26)</f>
        <v>87.412587412587413</v>
      </c>
      <c r="K5">
        <f t="shared" ref="K5:L5" si="0">K4/(4.4*26)</f>
        <v>874.12587412587413</v>
      </c>
      <c r="L5">
        <f t="shared" si="0"/>
        <v>8741.25874125874</v>
      </c>
    </row>
    <row r="6" spans="1:12">
      <c r="D6" s="5">
        <v>22</v>
      </c>
      <c r="G6">
        <v>19</v>
      </c>
      <c r="H6">
        <v>3</v>
      </c>
      <c r="I6">
        <v>34</v>
      </c>
      <c r="J6">
        <v>87</v>
      </c>
      <c r="K6">
        <v>874</v>
      </c>
      <c r="L6">
        <v>8741</v>
      </c>
    </row>
    <row r="7" spans="1:12">
      <c r="A7" t="s">
        <v>53</v>
      </c>
      <c r="D7" s="5">
        <v>1</v>
      </c>
      <c r="G7">
        <v>1</v>
      </c>
      <c r="H7">
        <f>H4/40</f>
        <v>2.5</v>
      </c>
      <c r="I7">
        <v>10</v>
      </c>
      <c r="J7">
        <f>J4/G4</f>
        <v>4.5454545454545459</v>
      </c>
      <c r="K7">
        <f>K4/G4</f>
        <v>45.454545454545453</v>
      </c>
      <c r="L7">
        <f>L4/G4</f>
        <v>454.54545454545456</v>
      </c>
    </row>
    <row r="8" spans="1:12">
      <c r="A8" t="s">
        <v>54</v>
      </c>
      <c r="D8" s="5">
        <v>1</v>
      </c>
      <c r="G8">
        <v>1</v>
      </c>
      <c r="H8">
        <v>1</v>
      </c>
      <c r="I8">
        <v>10</v>
      </c>
      <c r="J8">
        <v>5</v>
      </c>
      <c r="K8">
        <v>46</v>
      </c>
      <c r="L8">
        <v>455</v>
      </c>
    </row>
    <row r="9" spans="1:12">
      <c r="A9" s="6" t="s">
        <v>23</v>
      </c>
      <c r="B9" s="6" t="s">
        <v>37</v>
      </c>
      <c r="C9" s="6" t="s">
        <v>38</v>
      </c>
      <c r="D9" s="6" t="s">
        <v>28</v>
      </c>
      <c r="E9" s="6" t="s">
        <v>39</v>
      </c>
      <c r="F9" s="6" t="s">
        <v>36</v>
      </c>
      <c r="G9" s="6" t="s">
        <v>43</v>
      </c>
      <c r="H9" s="6"/>
      <c r="I9" s="6"/>
      <c r="J9" s="6"/>
      <c r="K9" s="6"/>
      <c r="L9" s="6"/>
    </row>
    <row r="10" spans="1:12">
      <c r="A10" t="s">
        <v>42</v>
      </c>
      <c r="B10" t="s">
        <v>40</v>
      </c>
      <c r="E10" t="s">
        <v>41</v>
      </c>
      <c r="G10">
        <v>565</v>
      </c>
      <c r="H10">
        <v>1130</v>
      </c>
      <c r="I10">
        <f>G10*5</f>
        <v>2825</v>
      </c>
      <c r="J10">
        <f>G10*50</f>
        <v>28250</v>
      </c>
      <c r="K10">
        <f>G10*500</f>
        <v>282500</v>
      </c>
      <c r="L10">
        <f>G10*5000</f>
        <v>2825000</v>
      </c>
    </row>
    <row r="11" spans="1:12">
      <c r="A11" t="s">
        <v>19</v>
      </c>
      <c r="B11" t="s">
        <v>56</v>
      </c>
      <c r="C11">
        <v>10</v>
      </c>
      <c r="D11">
        <f>2.5*4*C11</f>
        <v>100</v>
      </c>
      <c r="G11">
        <v>1534</v>
      </c>
      <c r="H11">
        <f>G11*H8</f>
        <v>1534</v>
      </c>
      <c r="I11">
        <f>G11*I8</f>
        <v>15340</v>
      </c>
      <c r="J11">
        <f>G11*J8</f>
        <v>7670</v>
      </c>
      <c r="K11">
        <f>G11*K8</f>
        <v>70564</v>
      </c>
      <c r="L11">
        <f>G11*L8</f>
        <v>697970</v>
      </c>
    </row>
    <row r="12" spans="1:12">
      <c r="A12" t="s">
        <v>67</v>
      </c>
      <c r="B12" t="s">
        <v>84</v>
      </c>
      <c r="C12" t="s">
        <v>68</v>
      </c>
      <c r="D12">
        <v>2100</v>
      </c>
      <c r="E12" t="s">
        <v>73</v>
      </c>
      <c r="F12" t="s">
        <v>83</v>
      </c>
      <c r="G12">
        <v>1700</v>
      </c>
      <c r="J12">
        <f>G12*5</f>
        <v>8500</v>
      </c>
      <c r="K12">
        <f>G12*K8</f>
        <v>78200</v>
      </c>
      <c r="L12">
        <f>G12*L8</f>
        <v>773500</v>
      </c>
    </row>
    <row r="13" spans="1:12">
      <c r="A13" t="s">
        <v>20</v>
      </c>
      <c r="B13" t="s">
        <v>69</v>
      </c>
      <c r="C13" t="s">
        <v>70</v>
      </c>
      <c r="G13">
        <f>1700*3</f>
        <v>5100</v>
      </c>
      <c r="H13">
        <f>G13*H8</f>
        <v>5100</v>
      </c>
      <c r="I13">
        <f>G13*I8</f>
        <v>51000</v>
      </c>
      <c r="J13">
        <f>G13*J8</f>
        <v>25500</v>
      </c>
      <c r="K13">
        <f>G13*K8</f>
        <v>234600</v>
      </c>
      <c r="L13">
        <f>G13*L8</f>
        <v>2320500</v>
      </c>
    </row>
    <row r="14" spans="1:12">
      <c r="A14" t="s">
        <v>21</v>
      </c>
      <c r="B14" t="s">
        <v>72</v>
      </c>
      <c r="C14" t="s">
        <v>71</v>
      </c>
      <c r="G14">
        <f>530*2</f>
        <v>1060</v>
      </c>
      <c r="H14">
        <f>G14*H8</f>
        <v>1060</v>
      </c>
      <c r="I14">
        <f>G14*I8</f>
        <v>10600</v>
      </c>
      <c r="J14">
        <f>G14*J8</f>
        <v>5300</v>
      </c>
      <c r="K14">
        <f>G14*K8</f>
        <v>48760</v>
      </c>
      <c r="L14">
        <f>G14*L8</f>
        <v>482300</v>
      </c>
    </row>
    <row r="15" spans="1:12">
      <c r="A15" t="s">
        <v>32</v>
      </c>
      <c r="B15" t="s">
        <v>44</v>
      </c>
      <c r="G15">
        <v>351</v>
      </c>
      <c r="H15">
        <f>G15*H8</f>
        <v>351</v>
      </c>
      <c r="I15">
        <f>G15*I8</f>
        <v>3510</v>
      </c>
      <c r="J15">
        <f>G15*J8</f>
        <v>1755</v>
      </c>
      <c r="K15">
        <f>G15*K8</f>
        <v>16146</v>
      </c>
      <c r="L15">
        <f>G15*L8</f>
        <v>159705</v>
      </c>
    </row>
    <row r="16" spans="1:12">
      <c r="A16" t="s">
        <v>22</v>
      </c>
      <c r="B16" t="s">
        <v>55</v>
      </c>
      <c r="G16">
        <v>275</v>
      </c>
      <c r="H16">
        <v>275</v>
      </c>
      <c r="I16">
        <f>1110</f>
        <v>1110</v>
      </c>
      <c r="J16">
        <f>G16</f>
        <v>275</v>
      </c>
      <c r="K16">
        <f>G16*2</f>
        <v>550</v>
      </c>
      <c r="L16">
        <f>G16*18</f>
        <v>4950</v>
      </c>
    </row>
    <row r="17" spans="1:12">
      <c r="A17" t="s">
        <v>24</v>
      </c>
      <c r="B17" t="s">
        <v>33</v>
      </c>
      <c r="G17">
        <v>436</v>
      </c>
      <c r="H17">
        <v>436</v>
      </c>
      <c r="I17">
        <f>G17</f>
        <v>436</v>
      </c>
      <c r="J17">
        <f>G17</f>
        <v>436</v>
      </c>
      <c r="K17">
        <f>G17*2</f>
        <v>872</v>
      </c>
      <c r="L17">
        <f>G17*20</f>
        <v>8720</v>
      </c>
    </row>
    <row r="18" spans="1:12">
      <c r="A18" t="s">
        <v>25</v>
      </c>
      <c r="G18">
        <v>600000</v>
      </c>
      <c r="H18">
        <v>600000</v>
      </c>
      <c r="I18">
        <f>G18</f>
        <v>600000</v>
      </c>
      <c r="J18">
        <f>G18</f>
        <v>600000</v>
      </c>
      <c r="K18">
        <f>G18</f>
        <v>600000</v>
      </c>
      <c r="L18">
        <f>G18</f>
        <v>600000</v>
      </c>
    </row>
    <row r="19" spans="1:12">
      <c r="A19" t="s">
        <v>26</v>
      </c>
      <c r="E19">
        <v>822</v>
      </c>
      <c r="G19">
        <f>0.162*0.822*24*5*365</f>
        <v>5832.5832</v>
      </c>
      <c r="H19">
        <f>G19*H8</f>
        <v>5832.5832</v>
      </c>
      <c r="I19">
        <f>G19*5</f>
        <v>29162.916000000001</v>
      </c>
      <c r="J19">
        <f>G19*50</f>
        <v>291629.15999999997</v>
      </c>
      <c r="K19">
        <f>G19*500</f>
        <v>2916291.6</v>
      </c>
      <c r="L19">
        <f>G19*5000</f>
        <v>29162916</v>
      </c>
    </row>
    <row r="20" spans="1:12">
      <c r="A20" t="s">
        <v>27</v>
      </c>
      <c r="E20">
        <v>115</v>
      </c>
      <c r="G20">
        <f>0.162*0.115*24*5*365</f>
        <v>815.99400000000014</v>
      </c>
      <c r="H20">
        <f>G20*H8</f>
        <v>815.99400000000014</v>
      </c>
      <c r="I20">
        <f>G20*I8</f>
        <v>8159.9400000000014</v>
      </c>
      <c r="J20">
        <f>G20*J8</f>
        <v>4079.9700000000007</v>
      </c>
      <c r="K20">
        <f>G20*K8</f>
        <v>37535.724000000009</v>
      </c>
      <c r="L20">
        <f>G20*L8</f>
        <v>371277.27000000008</v>
      </c>
    </row>
    <row r="21" spans="1:12">
      <c r="A21" t="s">
        <v>49</v>
      </c>
      <c r="G21">
        <f t="shared" ref="G21:L21" si="1">SUM(G10:G20)</f>
        <v>617669.57719999994</v>
      </c>
      <c r="H21">
        <f t="shared" si="1"/>
        <v>616534.57719999994</v>
      </c>
      <c r="I21">
        <f t="shared" si="1"/>
        <v>722143.85599999991</v>
      </c>
      <c r="J21">
        <f t="shared" si="1"/>
        <v>973395.12999999989</v>
      </c>
      <c r="K21">
        <f t="shared" si="1"/>
        <v>4286019.324</v>
      </c>
      <c r="L21">
        <f t="shared" si="1"/>
        <v>37406838.270000003</v>
      </c>
    </row>
    <row r="22" spans="1:12">
      <c r="A22" t="s">
        <v>52</v>
      </c>
      <c r="G22">
        <f>G21/(120*365)</f>
        <v>14.102045141552511</v>
      </c>
      <c r="H22">
        <f t="shared" ref="H22:L22" si="2">H21/(120*365)</f>
        <v>14.076131899543377</v>
      </c>
      <c r="I22">
        <f t="shared" si="2"/>
        <v>16.487302648401826</v>
      </c>
      <c r="J22">
        <f t="shared" si="2"/>
        <v>22.223633105022827</v>
      </c>
      <c r="K22">
        <f t="shared" si="2"/>
        <v>97.854322465753427</v>
      </c>
      <c r="L22">
        <f t="shared" si="2"/>
        <v>854.03740342465755</v>
      </c>
    </row>
    <row r="23" spans="1:12">
      <c r="A23" t="s">
        <v>51</v>
      </c>
      <c r="G23">
        <f>G22</f>
        <v>14.102045141552511</v>
      </c>
      <c r="H23">
        <f>H22/H6</f>
        <v>4.6920439665144587</v>
      </c>
      <c r="I23">
        <f>I22/I6</f>
        <v>0.48492066612946549</v>
      </c>
      <c r="J23">
        <f>J22/J6</f>
        <v>0.25544405867842329</v>
      </c>
      <c r="K23">
        <f>K22/K6</f>
        <v>0.11196146735212062</v>
      </c>
      <c r="L23">
        <f>L22/L6</f>
        <v>9.7704771013002803E-2</v>
      </c>
    </row>
    <row r="27" spans="1:12">
      <c r="B27">
        <v>1</v>
      </c>
      <c r="C27">
        <v>10</v>
      </c>
      <c r="D27">
        <v>35.200000000000003</v>
      </c>
      <c r="E27">
        <v>100</v>
      </c>
      <c r="F27">
        <v>1000</v>
      </c>
      <c r="G27">
        <v>10000</v>
      </c>
      <c r="H27">
        <v>100000</v>
      </c>
      <c r="I27">
        <v>1000000</v>
      </c>
    </row>
    <row r="28" spans="1:12">
      <c r="B28">
        <f>G23</f>
        <v>14.102045141552511</v>
      </c>
      <c r="C28">
        <f>G23</f>
        <v>14.102045141552511</v>
      </c>
      <c r="D28" s="5">
        <f>G23</f>
        <v>14.102045141552511</v>
      </c>
      <c r="E28">
        <f>G23</f>
        <v>14.102045141552511</v>
      </c>
      <c r="F28">
        <f>I23</f>
        <v>0.48492066612946549</v>
      </c>
      <c r="G28">
        <f>J23</f>
        <v>0.25544405867842329</v>
      </c>
      <c r="H28">
        <f>K23</f>
        <v>0.11196146735212062</v>
      </c>
      <c r="I28">
        <f>L23</f>
        <v>9.7704771013002803E-2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Ruler="0" workbookViewId="0">
      <selection activeCell="A29" sqref="A4:XFD29"/>
    </sheetView>
  </sheetViews>
  <sheetFormatPr baseColWidth="10" defaultRowHeight="15" x14ac:dyDescent="0"/>
  <cols>
    <col min="2" max="2" width="13.33203125" customWidth="1"/>
    <col min="7" max="7" width="21.83203125" customWidth="1"/>
    <col min="8" max="8" width="21.1640625" customWidth="1"/>
    <col min="9" max="9" width="21.83203125" customWidth="1"/>
    <col min="10" max="10" width="22" customWidth="1"/>
    <col min="11" max="11" width="21.5" customWidth="1"/>
  </cols>
  <sheetData>
    <row r="1" spans="1:12" s="3" customFormat="1" ht="40">
      <c r="A1" s="3" t="s">
        <v>0</v>
      </c>
      <c r="B1" s="3" t="s">
        <v>8</v>
      </c>
      <c r="C1" s="3" t="s">
        <v>9</v>
      </c>
      <c r="D1" s="3" t="s">
        <v>10</v>
      </c>
      <c r="E1" s="3" t="s">
        <v>18</v>
      </c>
      <c r="F1" s="3" t="s">
        <v>29</v>
      </c>
      <c r="G1" s="3" t="s">
        <v>28</v>
      </c>
    </row>
    <row r="2" spans="1:12" ht="18">
      <c r="A2" s="1" t="s">
        <v>5</v>
      </c>
      <c r="B2" s="2">
        <v>16</v>
      </c>
      <c r="C2" s="2">
        <v>122</v>
      </c>
      <c r="D2" s="2" t="s">
        <v>15</v>
      </c>
      <c r="E2" s="2">
        <v>1.4</v>
      </c>
      <c r="F2" s="2">
        <v>52</v>
      </c>
      <c r="G2" s="2">
        <f>F2*4.4</f>
        <v>228.8</v>
      </c>
      <c r="H2" s="2"/>
      <c r="I2" s="2"/>
      <c r="J2" s="2"/>
      <c r="K2" s="2"/>
    </row>
    <row r="4" spans="1:12">
      <c r="A4" t="s">
        <v>28</v>
      </c>
      <c r="D4" s="5">
        <v>100</v>
      </c>
      <c r="G4">
        <v>515</v>
      </c>
      <c r="H4">
        <v>100</v>
      </c>
      <c r="I4">
        <v>1000</v>
      </c>
      <c r="J4">
        <v>10000</v>
      </c>
      <c r="K4">
        <v>100000</v>
      </c>
      <c r="L4">
        <v>1000000</v>
      </c>
    </row>
    <row r="5" spans="1:12">
      <c r="A5" t="s">
        <v>50</v>
      </c>
      <c r="D5">
        <f>D4/4.4</f>
        <v>22.727272727272727</v>
      </c>
      <c r="G5">
        <f>G4/228.8</f>
        <v>2.2508741258741258</v>
      </c>
      <c r="H5">
        <f>H4/(4.4*6.5)</f>
        <v>3.4965034965034962</v>
      </c>
      <c r="I5">
        <f>I4/(4.4*52)</f>
        <v>4.3706293706293708</v>
      </c>
      <c r="J5">
        <f>J4/(4.4*52)</f>
        <v>43.706293706293707</v>
      </c>
      <c r="K5">
        <f>K4/(4.4*52)</f>
        <v>437.06293706293707</v>
      </c>
      <c r="L5">
        <f>L4/(4.4*52)</f>
        <v>4370.62937062937</v>
      </c>
    </row>
    <row r="6" spans="1:12">
      <c r="D6" s="5">
        <v>22</v>
      </c>
      <c r="G6">
        <v>2</v>
      </c>
      <c r="H6">
        <v>3</v>
      </c>
      <c r="I6">
        <v>4</v>
      </c>
      <c r="J6">
        <v>43</v>
      </c>
      <c r="K6">
        <v>437</v>
      </c>
      <c r="L6">
        <v>4370</v>
      </c>
    </row>
    <row r="7" spans="1:12">
      <c r="A7" t="s">
        <v>53</v>
      </c>
      <c r="D7" s="5">
        <v>1</v>
      </c>
      <c r="G7">
        <v>1</v>
      </c>
      <c r="H7">
        <f>H4/515</f>
        <v>0.1941747572815534</v>
      </c>
      <c r="I7">
        <f t="shared" ref="I7:L7" si="0">I4/515</f>
        <v>1.941747572815534</v>
      </c>
      <c r="J7">
        <f t="shared" si="0"/>
        <v>19.417475728155338</v>
      </c>
      <c r="K7">
        <f t="shared" si="0"/>
        <v>194.17475728155341</v>
      </c>
      <c r="L7">
        <f t="shared" si="0"/>
        <v>1941.7475728155339</v>
      </c>
    </row>
    <row r="8" spans="1:12">
      <c r="A8" t="s">
        <v>54</v>
      </c>
      <c r="D8" s="5">
        <v>1</v>
      </c>
      <c r="G8">
        <v>1</v>
      </c>
      <c r="H8">
        <v>1</v>
      </c>
      <c r="I8">
        <v>2</v>
      </c>
      <c r="J8">
        <v>20</v>
      </c>
      <c r="K8">
        <v>195</v>
      </c>
      <c r="L8">
        <v>1942</v>
      </c>
    </row>
    <row r="9" spans="1:12">
      <c r="A9" s="6" t="s">
        <v>23</v>
      </c>
      <c r="B9" s="6" t="s">
        <v>37</v>
      </c>
      <c r="C9" s="6" t="s">
        <v>38</v>
      </c>
      <c r="D9" s="6" t="s">
        <v>28</v>
      </c>
      <c r="E9" s="6" t="s">
        <v>39</v>
      </c>
      <c r="F9" s="6" t="s">
        <v>36</v>
      </c>
      <c r="G9" s="6" t="s">
        <v>43</v>
      </c>
      <c r="H9" s="6"/>
      <c r="I9" s="6"/>
      <c r="J9" s="6"/>
      <c r="K9" s="6"/>
      <c r="L9" s="6"/>
    </row>
    <row r="10" spans="1:12">
      <c r="A10" t="s">
        <v>42</v>
      </c>
      <c r="B10" t="s">
        <v>40</v>
      </c>
      <c r="E10" t="s">
        <v>41</v>
      </c>
      <c r="G10">
        <v>565</v>
      </c>
      <c r="H10">
        <v>1130</v>
      </c>
      <c r="I10">
        <f>G10*1</f>
        <v>565</v>
      </c>
      <c r="J10">
        <f>G10*10</f>
        <v>5650</v>
      </c>
      <c r="K10">
        <f>G10*98</f>
        <v>55370</v>
      </c>
      <c r="L10">
        <f>G10*971</f>
        <v>548615</v>
      </c>
    </row>
    <row r="11" spans="1:12">
      <c r="A11" t="s">
        <v>19</v>
      </c>
      <c r="B11" t="s">
        <v>61</v>
      </c>
      <c r="C11">
        <v>14</v>
      </c>
      <c r="D11">
        <f>2.3*16*C11</f>
        <v>515.19999999999993</v>
      </c>
      <c r="G11">
        <v>2340</v>
      </c>
      <c r="H11">
        <f>G11*H8</f>
        <v>2340</v>
      </c>
      <c r="I11">
        <f>G11*I8</f>
        <v>4680</v>
      </c>
      <c r="J11">
        <f>G11*J8</f>
        <v>46800</v>
      </c>
      <c r="K11">
        <f>G11*K8</f>
        <v>456300</v>
      </c>
      <c r="L11">
        <f>G11*L8</f>
        <v>4544280</v>
      </c>
    </row>
    <row r="12" spans="1:12">
      <c r="A12" t="s">
        <v>20</v>
      </c>
      <c r="B12" t="s">
        <v>34</v>
      </c>
      <c r="C12" t="s">
        <v>64</v>
      </c>
      <c r="G12">
        <f>2300*2</f>
        <v>4600</v>
      </c>
      <c r="H12">
        <f>G12*H8</f>
        <v>4600</v>
      </c>
      <c r="I12">
        <f>G12*I8</f>
        <v>9200</v>
      </c>
      <c r="J12">
        <f>G12*J8</f>
        <v>92000</v>
      </c>
      <c r="K12">
        <f>G12*K8</f>
        <v>897000</v>
      </c>
      <c r="L12">
        <f>G12*L8</f>
        <v>8933200</v>
      </c>
    </row>
    <row r="13" spans="1:12">
      <c r="A13" t="s">
        <v>21</v>
      </c>
      <c r="B13" t="s">
        <v>31</v>
      </c>
      <c r="C13" t="s">
        <v>62</v>
      </c>
      <c r="G13">
        <v>2500</v>
      </c>
      <c r="H13">
        <f>G13*H8</f>
        <v>2500</v>
      </c>
      <c r="I13">
        <f>G13*I8</f>
        <v>5000</v>
      </c>
      <c r="J13">
        <f>G13*J8</f>
        <v>50000</v>
      </c>
      <c r="K13">
        <f>G13*K8</f>
        <v>487500</v>
      </c>
      <c r="L13">
        <f>G13*L8</f>
        <v>4855000</v>
      </c>
    </row>
    <row r="14" spans="1:12">
      <c r="A14" t="s">
        <v>32</v>
      </c>
      <c r="B14" t="s">
        <v>63</v>
      </c>
      <c r="G14">
        <v>270</v>
      </c>
      <c r="H14">
        <f>G14*H8</f>
        <v>270</v>
      </c>
      <c r="I14">
        <f>G14*I8</f>
        <v>540</v>
      </c>
      <c r="J14">
        <f>G14*J8</f>
        <v>5400</v>
      </c>
      <c r="K14">
        <f>G14*K8</f>
        <v>52650</v>
      </c>
      <c r="L14">
        <f>G14*L8</f>
        <v>524340</v>
      </c>
    </row>
    <row r="15" spans="1:12">
      <c r="A15" t="s">
        <v>22</v>
      </c>
      <c r="B15" t="s">
        <v>55</v>
      </c>
      <c r="G15">
        <v>275</v>
      </c>
      <c r="H15">
        <v>275</v>
      </c>
      <c r="I15">
        <v>275</v>
      </c>
      <c r="J15">
        <v>275</v>
      </c>
      <c r="K15">
        <f>G15*8</f>
        <v>2200</v>
      </c>
      <c r="L15">
        <f>G15*80</f>
        <v>22000</v>
      </c>
    </row>
    <row r="16" spans="1:12">
      <c r="A16" t="s">
        <v>24</v>
      </c>
      <c r="B16" t="s">
        <v>33</v>
      </c>
      <c r="G16">
        <v>436</v>
      </c>
      <c r="H16">
        <v>436</v>
      </c>
      <c r="I16">
        <f>G16</f>
        <v>436</v>
      </c>
      <c r="J16">
        <v>436</v>
      </c>
      <c r="K16">
        <f>G16*8</f>
        <v>3488</v>
      </c>
      <c r="L16">
        <f>G16*80</f>
        <v>34880</v>
      </c>
    </row>
    <row r="17" spans="1:12">
      <c r="A17" t="s">
        <v>25</v>
      </c>
      <c r="G17">
        <v>600000</v>
      </c>
      <c r="H17">
        <v>600000</v>
      </c>
      <c r="I17">
        <f>G17</f>
        <v>600000</v>
      </c>
      <c r="J17">
        <f>G17</f>
        <v>600000</v>
      </c>
      <c r="K17">
        <f>G17</f>
        <v>600000</v>
      </c>
      <c r="L17">
        <f>G17</f>
        <v>600000</v>
      </c>
    </row>
    <row r="18" spans="1:12">
      <c r="A18" t="s">
        <v>26</v>
      </c>
      <c r="G18">
        <f>0.162*0.7*24*5*365</f>
        <v>4966.92</v>
      </c>
      <c r="H18">
        <f>G18*H8</f>
        <v>4966.92</v>
      </c>
      <c r="I18">
        <f>G18</f>
        <v>4966.92</v>
      </c>
      <c r="J18">
        <f>G18*10</f>
        <v>49669.2</v>
      </c>
      <c r="K18">
        <f>G18*98</f>
        <v>486758.16000000003</v>
      </c>
      <c r="L18">
        <f>G18*971</f>
        <v>4822879.32</v>
      </c>
    </row>
    <row r="19" spans="1:12">
      <c r="A19" t="s">
        <v>27</v>
      </c>
      <c r="G19">
        <f>0.162*0.135*24*5*365</f>
        <v>957.90600000000006</v>
      </c>
      <c r="H19">
        <f>G19*H8</f>
        <v>957.90600000000006</v>
      </c>
      <c r="I19">
        <f>G19*I8</f>
        <v>1915.8120000000001</v>
      </c>
      <c r="J19">
        <f>G19*J8</f>
        <v>19158.120000000003</v>
      </c>
      <c r="K19">
        <f>G19*K8</f>
        <v>186791.67</v>
      </c>
      <c r="L19">
        <f>G19*L8</f>
        <v>1860253.452</v>
      </c>
    </row>
    <row r="20" spans="1:12">
      <c r="A20" t="s">
        <v>49</v>
      </c>
      <c r="G20">
        <f t="shared" ref="G20:L20" si="1">SUM(G10:G19)</f>
        <v>616910.826</v>
      </c>
      <c r="H20">
        <f t="shared" si="1"/>
        <v>617475.826</v>
      </c>
      <c r="I20">
        <f t="shared" si="1"/>
        <v>627578.73200000008</v>
      </c>
      <c r="J20">
        <f t="shared" si="1"/>
        <v>869388.32</v>
      </c>
      <c r="K20">
        <f t="shared" si="1"/>
        <v>3228057.83</v>
      </c>
      <c r="L20">
        <f t="shared" si="1"/>
        <v>26745447.772</v>
      </c>
    </row>
    <row r="21" spans="1:12">
      <c r="A21" t="s">
        <v>52</v>
      </c>
      <c r="G21">
        <f>G20/(120*365)</f>
        <v>14.08472205479452</v>
      </c>
      <c r="H21">
        <f t="shared" ref="H21:L21" si="2">H20/(120*365)</f>
        <v>14.097621598173516</v>
      </c>
      <c r="I21">
        <f t="shared" si="2"/>
        <v>14.328281552511417</v>
      </c>
      <c r="J21">
        <f t="shared" si="2"/>
        <v>19.849048401826483</v>
      </c>
      <c r="K21">
        <f t="shared" si="2"/>
        <v>73.699950456621011</v>
      </c>
      <c r="L21">
        <f t="shared" si="2"/>
        <v>610.62666146118727</v>
      </c>
    </row>
    <row r="22" spans="1:12">
      <c r="A22" t="s">
        <v>51</v>
      </c>
      <c r="G22">
        <f>G21</f>
        <v>14.08472205479452</v>
      </c>
      <c r="H22">
        <f>H21/H6</f>
        <v>4.6992071993911724</v>
      </c>
      <c r="I22">
        <f>I21/I6</f>
        <v>3.5820703881278542</v>
      </c>
      <c r="J22">
        <f>J21/J6</f>
        <v>0.46160577678666237</v>
      </c>
      <c r="K22">
        <f>K21/K6</f>
        <v>0.16864977221194738</v>
      </c>
      <c r="L22">
        <f>L21/L6</f>
        <v>0.13973150147853255</v>
      </c>
    </row>
    <row r="26" spans="1:12">
      <c r="B26">
        <v>1</v>
      </c>
      <c r="C26">
        <v>10</v>
      </c>
      <c r="D26">
        <v>35.200000000000003</v>
      </c>
      <c r="E26">
        <v>100</v>
      </c>
      <c r="F26">
        <v>1000</v>
      </c>
      <c r="G26">
        <v>10000</v>
      </c>
      <c r="H26">
        <v>100000</v>
      </c>
      <c r="I26">
        <v>1000000</v>
      </c>
    </row>
    <row r="27" spans="1:12">
      <c r="B27">
        <f>G22</f>
        <v>14.08472205479452</v>
      </c>
      <c r="C27">
        <f>G22</f>
        <v>14.08472205479452</v>
      </c>
      <c r="D27" s="5">
        <f>G22</f>
        <v>14.08472205479452</v>
      </c>
      <c r="E27">
        <f>G22</f>
        <v>14.08472205479452</v>
      </c>
      <c r="F27">
        <f>I22</f>
        <v>3.5820703881278542</v>
      </c>
      <c r="G27">
        <f>J22</f>
        <v>0.46160577678666237</v>
      </c>
      <c r="H27">
        <f>K22</f>
        <v>0.16864977221194738</v>
      </c>
      <c r="I27">
        <f>L22</f>
        <v>0.13973150147853255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Ruler="0" workbookViewId="0">
      <selection activeCell="A29" sqref="A5:XFD29"/>
    </sheetView>
  </sheetViews>
  <sheetFormatPr baseColWidth="10" defaultRowHeight="15" x14ac:dyDescent="0"/>
  <cols>
    <col min="1" max="1" width="12.1640625" customWidth="1"/>
    <col min="2" max="2" width="16.5" customWidth="1"/>
    <col min="3" max="3" width="14" customWidth="1"/>
    <col min="6" max="6" width="3.83203125" customWidth="1"/>
    <col min="7" max="7" width="21.5" customWidth="1"/>
    <col min="8" max="8" width="19" customWidth="1"/>
    <col min="9" max="9" width="20.1640625" customWidth="1"/>
    <col min="10" max="10" width="16.83203125" customWidth="1"/>
    <col min="11" max="11" width="21.33203125" customWidth="1"/>
    <col min="12" max="12" width="18.6640625" customWidth="1"/>
  </cols>
  <sheetData>
    <row r="1" spans="1:12" s="3" customFormat="1" ht="60">
      <c r="A1" s="3" t="s">
        <v>0</v>
      </c>
      <c r="B1" s="3" t="s">
        <v>8</v>
      </c>
      <c r="C1" s="3" t="s">
        <v>9</v>
      </c>
      <c r="D1" s="3" t="s">
        <v>10</v>
      </c>
      <c r="E1" s="3" t="s">
        <v>18</v>
      </c>
      <c r="F1" s="3" t="s">
        <v>29</v>
      </c>
      <c r="G1" s="3" t="s">
        <v>28</v>
      </c>
    </row>
    <row r="2" spans="1:12" ht="18">
      <c r="A2" s="1" t="s">
        <v>6</v>
      </c>
      <c r="B2" s="2">
        <v>32</v>
      </c>
      <c r="C2" s="2">
        <v>244</v>
      </c>
      <c r="D2" s="2" t="s">
        <v>16</v>
      </c>
      <c r="E2" s="2">
        <v>6.82</v>
      </c>
      <c r="F2" s="2">
        <v>104</v>
      </c>
      <c r="G2" s="2">
        <f>F2*4.4</f>
        <v>457.6</v>
      </c>
      <c r="H2" s="2"/>
      <c r="I2" s="2"/>
      <c r="J2" s="2"/>
      <c r="K2" s="2"/>
    </row>
    <row r="5" spans="1:12">
      <c r="A5" t="s">
        <v>28</v>
      </c>
      <c r="D5" s="5">
        <v>100</v>
      </c>
      <c r="G5">
        <v>515</v>
      </c>
      <c r="H5">
        <v>100</v>
      </c>
      <c r="I5">
        <v>1000</v>
      </c>
      <c r="J5">
        <v>10000</v>
      </c>
      <c r="K5">
        <v>100000</v>
      </c>
      <c r="L5">
        <v>1000000</v>
      </c>
    </row>
    <row r="6" spans="1:12">
      <c r="A6" t="s">
        <v>50</v>
      </c>
      <c r="D6">
        <f>D5/4.4</f>
        <v>22.727272727272727</v>
      </c>
      <c r="G6">
        <v>1</v>
      </c>
      <c r="H6">
        <f>H5/(4.4*6.5)</f>
        <v>3.4965034965034962</v>
      </c>
      <c r="I6">
        <f>I5/(4.4*104)</f>
        <v>2.1853146853146854</v>
      </c>
      <c r="J6">
        <f>J5/(4.4*104)</f>
        <v>21.853146853146853</v>
      </c>
      <c r="K6">
        <f>K5/(4.4*104)</f>
        <v>218.53146853146853</v>
      </c>
      <c r="L6">
        <f>L5/(4.4*104)</f>
        <v>2185.314685314685</v>
      </c>
    </row>
    <row r="7" spans="1:12">
      <c r="D7" s="5">
        <v>22</v>
      </c>
      <c r="H7">
        <v>3</v>
      </c>
      <c r="I7">
        <v>2</v>
      </c>
      <c r="J7">
        <v>21</v>
      </c>
      <c r="K7">
        <v>218</v>
      </c>
      <c r="L7">
        <v>2185</v>
      </c>
    </row>
    <row r="8" spans="1:12">
      <c r="A8" t="s">
        <v>53</v>
      </c>
      <c r="D8" s="5">
        <v>1</v>
      </c>
      <c r="G8">
        <v>1</v>
      </c>
      <c r="H8">
        <f>H5/515</f>
        <v>0.1941747572815534</v>
      </c>
      <c r="I8">
        <f t="shared" ref="I8:L8" si="0">I5/515</f>
        <v>1.941747572815534</v>
      </c>
      <c r="J8">
        <f t="shared" si="0"/>
        <v>19.417475728155338</v>
      </c>
      <c r="K8">
        <f t="shared" si="0"/>
        <v>194.17475728155341</v>
      </c>
      <c r="L8">
        <f t="shared" si="0"/>
        <v>1941.7475728155339</v>
      </c>
    </row>
    <row r="9" spans="1:12">
      <c r="A9" t="s">
        <v>54</v>
      </c>
      <c r="D9" s="5">
        <v>1</v>
      </c>
      <c r="G9">
        <v>1</v>
      </c>
      <c r="H9">
        <v>1</v>
      </c>
      <c r="I9">
        <v>2</v>
      </c>
      <c r="J9">
        <v>20</v>
      </c>
      <c r="K9">
        <v>195</v>
      </c>
      <c r="L9">
        <v>1942</v>
      </c>
    </row>
    <row r="10" spans="1:12">
      <c r="A10" s="6" t="s">
        <v>23</v>
      </c>
      <c r="B10" s="6" t="s">
        <v>37</v>
      </c>
      <c r="C10" s="6" t="s">
        <v>38</v>
      </c>
      <c r="D10" s="6" t="s">
        <v>28</v>
      </c>
      <c r="E10" s="6" t="s">
        <v>39</v>
      </c>
      <c r="F10" s="6" t="s">
        <v>36</v>
      </c>
      <c r="G10" s="6" t="s">
        <v>43</v>
      </c>
      <c r="H10" s="6"/>
      <c r="I10" s="6"/>
      <c r="J10" s="6"/>
      <c r="K10" s="6"/>
      <c r="L10" s="6"/>
    </row>
    <row r="11" spans="1:12">
      <c r="A11" t="s">
        <v>42</v>
      </c>
      <c r="B11" t="s">
        <v>40</v>
      </c>
      <c r="E11" t="s">
        <v>41</v>
      </c>
      <c r="G11">
        <v>565</v>
      </c>
      <c r="H11">
        <v>1130</v>
      </c>
      <c r="I11">
        <f>G11*1</f>
        <v>565</v>
      </c>
      <c r="J11">
        <f>G11*10</f>
        <v>5650</v>
      </c>
      <c r="K11">
        <f>G11*98</f>
        <v>55370</v>
      </c>
      <c r="L11">
        <f>G11*971</f>
        <v>548615</v>
      </c>
    </row>
    <row r="12" spans="1:12">
      <c r="A12" t="s">
        <v>19</v>
      </c>
      <c r="B12" t="s">
        <v>61</v>
      </c>
      <c r="C12">
        <v>14</v>
      </c>
      <c r="D12">
        <f>2.3*16*C12</f>
        <v>515.19999999999993</v>
      </c>
      <c r="G12">
        <v>2340</v>
      </c>
      <c r="H12">
        <f>G12*H9</f>
        <v>2340</v>
      </c>
      <c r="I12">
        <f>G12*I9</f>
        <v>4680</v>
      </c>
      <c r="J12">
        <f>G12*J9</f>
        <v>46800</v>
      </c>
      <c r="K12">
        <f>G12*K9</f>
        <v>456300</v>
      </c>
      <c r="L12">
        <f>G12*L9</f>
        <v>4544280</v>
      </c>
    </row>
    <row r="13" spans="1:12">
      <c r="A13" t="s">
        <v>20</v>
      </c>
      <c r="B13" t="s">
        <v>34</v>
      </c>
      <c r="C13" t="s">
        <v>64</v>
      </c>
      <c r="G13">
        <f>2300*2</f>
        <v>4600</v>
      </c>
      <c r="H13">
        <f>G13*H9</f>
        <v>4600</v>
      </c>
      <c r="I13">
        <f>G13*I9</f>
        <v>9200</v>
      </c>
      <c r="J13">
        <f>G13*J9</f>
        <v>92000</v>
      </c>
      <c r="K13">
        <f>G13*K9</f>
        <v>897000</v>
      </c>
      <c r="L13">
        <f>G13*L9</f>
        <v>8933200</v>
      </c>
    </row>
    <row r="14" spans="1:12">
      <c r="A14" t="s">
        <v>21</v>
      </c>
      <c r="B14" t="s">
        <v>65</v>
      </c>
      <c r="C14" t="s">
        <v>66</v>
      </c>
      <c r="G14">
        <f>803*8</f>
        <v>6424</v>
      </c>
      <c r="H14">
        <f>G14*H9</f>
        <v>6424</v>
      </c>
      <c r="I14">
        <f>G14*I9</f>
        <v>12848</v>
      </c>
      <c r="J14">
        <f>G14*J9</f>
        <v>128480</v>
      </c>
      <c r="K14">
        <f>G14*K9</f>
        <v>1252680</v>
      </c>
      <c r="L14">
        <f>G14*L9</f>
        <v>12475408</v>
      </c>
    </row>
    <row r="15" spans="1:12">
      <c r="A15" t="s">
        <v>32</v>
      </c>
      <c r="B15" t="s">
        <v>63</v>
      </c>
      <c r="G15">
        <v>270</v>
      </c>
      <c r="H15">
        <f>G15*H9</f>
        <v>270</v>
      </c>
      <c r="I15">
        <f>G15*I9</f>
        <v>540</v>
      </c>
      <c r="J15">
        <f>G15*J9</f>
        <v>5400</v>
      </c>
      <c r="K15">
        <f>G15*K9</f>
        <v>52650</v>
      </c>
      <c r="L15">
        <f>G15*L9</f>
        <v>524340</v>
      </c>
    </row>
    <row r="16" spans="1:12">
      <c r="A16" t="s">
        <v>22</v>
      </c>
      <c r="B16" t="s">
        <v>55</v>
      </c>
      <c r="G16">
        <v>275</v>
      </c>
      <c r="H16">
        <v>275</v>
      </c>
      <c r="I16">
        <v>275</v>
      </c>
      <c r="J16">
        <v>275</v>
      </c>
      <c r="K16">
        <f>G16*8</f>
        <v>2200</v>
      </c>
      <c r="L16">
        <f>G16*80</f>
        <v>22000</v>
      </c>
    </row>
    <row r="17" spans="1:12">
      <c r="A17" t="s">
        <v>24</v>
      </c>
      <c r="B17" t="s">
        <v>33</v>
      </c>
      <c r="G17">
        <v>436</v>
      </c>
      <c r="H17">
        <v>436</v>
      </c>
      <c r="I17">
        <f>G17</f>
        <v>436</v>
      </c>
      <c r="J17">
        <v>436</v>
      </c>
      <c r="K17">
        <f>G17*8</f>
        <v>3488</v>
      </c>
      <c r="L17">
        <f>G17*80</f>
        <v>34880</v>
      </c>
    </row>
    <row r="18" spans="1:12">
      <c r="A18" t="s">
        <v>25</v>
      </c>
      <c r="G18">
        <v>600000</v>
      </c>
      <c r="H18">
        <v>600000</v>
      </c>
      <c r="I18">
        <f>G18</f>
        <v>600000</v>
      </c>
      <c r="J18">
        <f>G18</f>
        <v>600000</v>
      </c>
      <c r="K18">
        <f>G18</f>
        <v>600000</v>
      </c>
      <c r="L18">
        <f>G18</f>
        <v>600000</v>
      </c>
    </row>
    <row r="19" spans="1:12">
      <c r="A19" t="s">
        <v>26</v>
      </c>
      <c r="G19">
        <f>0.162*0.7*24*5*365</f>
        <v>4966.92</v>
      </c>
      <c r="H19">
        <f>G19*H9</f>
        <v>4966.92</v>
      </c>
      <c r="I19">
        <f>G19</f>
        <v>4966.92</v>
      </c>
      <c r="J19">
        <f>G19*10</f>
        <v>49669.2</v>
      </c>
      <c r="K19">
        <f>G19*98</f>
        <v>486758.16000000003</v>
      </c>
      <c r="L19">
        <f>G19*971</f>
        <v>4822879.32</v>
      </c>
    </row>
    <row r="20" spans="1:12">
      <c r="A20" t="s">
        <v>27</v>
      </c>
      <c r="G20">
        <f>0.162*0.135*24*5*365</f>
        <v>957.90600000000006</v>
      </c>
      <c r="H20">
        <f>G20*H9</f>
        <v>957.90600000000006</v>
      </c>
      <c r="I20">
        <f>G20*I9</f>
        <v>1915.8120000000001</v>
      </c>
      <c r="J20">
        <f>G20*J9</f>
        <v>19158.120000000003</v>
      </c>
      <c r="K20">
        <f>G20*K9</f>
        <v>186791.67</v>
      </c>
      <c r="L20">
        <f>G20*L9</f>
        <v>1860253.452</v>
      </c>
    </row>
    <row r="21" spans="1:12">
      <c r="A21" t="s">
        <v>49</v>
      </c>
      <c r="G21">
        <f>SUM(G11:G20)</f>
        <v>620834.826</v>
      </c>
      <c r="H21">
        <f t="shared" ref="H21:L21" si="1">SUM(H11:H20)</f>
        <v>621399.826</v>
      </c>
      <c r="I21">
        <f t="shared" si="1"/>
        <v>635426.73200000008</v>
      </c>
      <c r="J21">
        <f t="shared" si="1"/>
        <v>947868.32</v>
      </c>
      <c r="K21">
        <f t="shared" si="1"/>
        <v>3993237.83</v>
      </c>
      <c r="L21">
        <f t="shared" si="1"/>
        <v>34365855.772</v>
      </c>
    </row>
    <row r="22" spans="1:12">
      <c r="A22" t="s">
        <v>52</v>
      </c>
      <c r="G22">
        <f>G21/(120*365)</f>
        <v>14.174311095890411</v>
      </c>
      <c r="H22">
        <f t="shared" ref="H22:L22" si="2">H21/(120*365)</f>
        <v>14.187210639269406</v>
      </c>
      <c r="I22">
        <f t="shared" si="2"/>
        <v>14.507459634703197</v>
      </c>
      <c r="J22">
        <f t="shared" si="2"/>
        <v>21.640829223744291</v>
      </c>
      <c r="K22">
        <f t="shared" si="2"/>
        <v>91.169813470319639</v>
      </c>
      <c r="L22">
        <f t="shared" si="2"/>
        <v>784.60857926940639</v>
      </c>
    </row>
    <row r="23" spans="1:12">
      <c r="A23" t="s">
        <v>51</v>
      </c>
      <c r="G23">
        <f>G22</f>
        <v>14.174311095890411</v>
      </c>
      <c r="H23">
        <f>H22/H7</f>
        <v>4.7290702130898019</v>
      </c>
      <c r="I23">
        <f>I22/I7</f>
        <v>7.2537298173515987</v>
      </c>
      <c r="J23">
        <f>J22/J7</f>
        <v>1.0305156773211568</v>
      </c>
      <c r="K23">
        <f>K22/K7</f>
        <v>0.41821015353357632</v>
      </c>
      <c r="L23">
        <f>L22/L7</f>
        <v>0.35908859463130727</v>
      </c>
    </row>
    <row r="27" spans="1:12">
      <c r="B27">
        <v>1</v>
      </c>
      <c r="C27">
        <v>10</v>
      </c>
      <c r="D27">
        <v>35.200000000000003</v>
      </c>
      <c r="E27">
        <v>100</v>
      </c>
      <c r="F27">
        <v>1000</v>
      </c>
      <c r="G27">
        <v>10000</v>
      </c>
      <c r="H27">
        <v>100000</v>
      </c>
      <c r="I27">
        <v>1000000</v>
      </c>
    </row>
    <row r="28" spans="1:12">
      <c r="B28">
        <f>G23</f>
        <v>14.174311095890411</v>
      </c>
      <c r="C28">
        <f>G23</f>
        <v>14.174311095890411</v>
      </c>
      <c r="D28" s="5">
        <f>G23</f>
        <v>14.174311095890411</v>
      </c>
      <c r="E28">
        <f>G23</f>
        <v>14.174311095890411</v>
      </c>
      <c r="F28">
        <f>I23</f>
        <v>7.2537298173515987</v>
      </c>
      <c r="G28">
        <f>J23</f>
        <v>1.0305156773211568</v>
      </c>
      <c r="H28">
        <f>K23</f>
        <v>0.41821015353357632</v>
      </c>
      <c r="I28">
        <f>L23</f>
        <v>0.35908859463130727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Ruler="0" workbookViewId="0">
      <selection activeCell="A29" sqref="A5:XFD29"/>
    </sheetView>
  </sheetViews>
  <sheetFormatPr baseColWidth="10" defaultRowHeight="15" x14ac:dyDescent="0"/>
  <cols>
    <col min="2" max="2" width="10.1640625" customWidth="1"/>
    <col min="3" max="3" width="12.5" customWidth="1"/>
    <col min="4" max="4" width="22.33203125" customWidth="1"/>
    <col min="6" max="6" width="2.83203125" customWidth="1"/>
    <col min="7" max="7" width="19.6640625" customWidth="1"/>
    <col min="8" max="8" width="16.6640625" customWidth="1"/>
    <col min="9" max="9" width="19.83203125" customWidth="1"/>
    <col min="10" max="10" width="21.1640625" customWidth="1"/>
    <col min="11" max="11" width="21" customWidth="1"/>
    <col min="12" max="12" width="22.1640625" customWidth="1"/>
  </cols>
  <sheetData>
    <row r="1" spans="1:12" s="3" customFormat="1" ht="60">
      <c r="A1" s="3" t="s">
        <v>0</v>
      </c>
      <c r="B1" s="3" t="s">
        <v>8</v>
      </c>
      <c r="C1" s="3" t="s">
        <v>9</v>
      </c>
      <c r="D1" s="3" t="s">
        <v>10</v>
      </c>
      <c r="E1" s="3" t="s">
        <v>18</v>
      </c>
      <c r="F1" s="3" t="s">
        <v>29</v>
      </c>
      <c r="G1" s="3" t="s">
        <v>28</v>
      </c>
    </row>
    <row r="2" spans="1:12" ht="18">
      <c r="A2" s="1" t="s">
        <v>7</v>
      </c>
      <c r="B2" s="2">
        <v>16</v>
      </c>
      <c r="C2" s="2">
        <v>117</v>
      </c>
      <c r="D2" s="2" t="s">
        <v>17</v>
      </c>
      <c r="E2" s="2">
        <v>4.5999999999999996</v>
      </c>
      <c r="F2" s="2">
        <v>35</v>
      </c>
      <c r="G2" s="2">
        <f>F2*4.4</f>
        <v>154</v>
      </c>
      <c r="H2" s="2"/>
      <c r="I2" s="2"/>
      <c r="J2" s="2"/>
      <c r="K2" s="2"/>
    </row>
    <row r="5" spans="1:12">
      <c r="A5" t="s">
        <v>28</v>
      </c>
      <c r="D5" s="5">
        <v>100</v>
      </c>
      <c r="G5">
        <v>515</v>
      </c>
      <c r="H5">
        <v>100</v>
      </c>
      <c r="I5">
        <v>1000</v>
      </c>
      <c r="J5">
        <v>10000</v>
      </c>
      <c r="K5">
        <v>100000</v>
      </c>
      <c r="L5">
        <v>1000000</v>
      </c>
    </row>
    <row r="6" spans="1:12">
      <c r="A6" t="s">
        <v>50</v>
      </c>
      <c r="D6">
        <f>D5/4.4</f>
        <v>22.727272727272727</v>
      </c>
      <c r="G6">
        <f>G5/154</f>
        <v>3.3441558441558441</v>
      </c>
      <c r="H6">
        <f>H5/(4.4*6.5)</f>
        <v>3.4965034965034962</v>
      </c>
      <c r="I6">
        <f>I5/(4.4*35)</f>
        <v>6.4935064935064934</v>
      </c>
      <c r="J6">
        <f>J5/(4.4*35)</f>
        <v>64.935064935064929</v>
      </c>
      <c r="K6">
        <f>K5/(4.4*35)</f>
        <v>649.35064935064941</v>
      </c>
      <c r="L6">
        <f>L5/(4.4*35)</f>
        <v>6493.5064935064938</v>
      </c>
    </row>
    <row r="7" spans="1:12">
      <c r="D7" s="5">
        <v>22</v>
      </c>
      <c r="G7">
        <v>3</v>
      </c>
      <c r="H7">
        <v>3</v>
      </c>
      <c r="I7">
        <v>6</v>
      </c>
      <c r="J7">
        <v>64</v>
      </c>
      <c r="K7">
        <v>649</v>
      </c>
      <c r="L7">
        <v>6493</v>
      </c>
    </row>
    <row r="8" spans="1:12">
      <c r="A8" t="s">
        <v>53</v>
      </c>
      <c r="D8" s="5">
        <v>1</v>
      </c>
      <c r="G8">
        <v>1</v>
      </c>
      <c r="H8">
        <f>H5/515</f>
        <v>0.1941747572815534</v>
      </c>
      <c r="I8">
        <f t="shared" ref="I8:L8" si="0">I5/515</f>
        <v>1.941747572815534</v>
      </c>
      <c r="J8">
        <f t="shared" si="0"/>
        <v>19.417475728155338</v>
      </c>
      <c r="K8">
        <f t="shared" si="0"/>
        <v>194.17475728155341</v>
      </c>
      <c r="L8">
        <f t="shared" si="0"/>
        <v>1941.7475728155339</v>
      </c>
    </row>
    <row r="9" spans="1:12">
      <c r="A9" t="s">
        <v>54</v>
      </c>
      <c r="D9" s="5">
        <v>1</v>
      </c>
      <c r="G9">
        <v>1</v>
      </c>
      <c r="H9">
        <v>1</v>
      </c>
      <c r="I9">
        <v>2</v>
      </c>
      <c r="J9">
        <v>20</v>
      </c>
      <c r="K9">
        <v>195</v>
      </c>
      <c r="L9">
        <v>1942</v>
      </c>
    </row>
    <row r="10" spans="1:12">
      <c r="A10" s="6" t="s">
        <v>23</v>
      </c>
      <c r="B10" s="6" t="s">
        <v>37</v>
      </c>
      <c r="C10" s="6" t="s">
        <v>38</v>
      </c>
      <c r="D10" s="6" t="s">
        <v>28</v>
      </c>
      <c r="E10" s="6" t="s">
        <v>39</v>
      </c>
      <c r="F10" s="6" t="s">
        <v>36</v>
      </c>
      <c r="G10" s="6" t="s">
        <v>43</v>
      </c>
      <c r="H10" s="6"/>
      <c r="I10" s="6"/>
      <c r="J10" s="6"/>
      <c r="K10" s="6"/>
      <c r="L10" s="6"/>
    </row>
    <row r="11" spans="1:12">
      <c r="A11" t="s">
        <v>42</v>
      </c>
      <c r="B11" t="s">
        <v>40</v>
      </c>
      <c r="E11" t="s">
        <v>41</v>
      </c>
      <c r="G11">
        <v>565</v>
      </c>
      <c r="H11">
        <v>1130</v>
      </c>
      <c r="I11">
        <f>G11*1</f>
        <v>565</v>
      </c>
      <c r="J11">
        <f>G11*10</f>
        <v>5650</v>
      </c>
      <c r="K11">
        <f>G11*98</f>
        <v>55370</v>
      </c>
      <c r="L11">
        <f>G11*971</f>
        <v>548615</v>
      </c>
    </row>
    <row r="12" spans="1:12">
      <c r="A12" t="s">
        <v>19</v>
      </c>
      <c r="B12" t="s">
        <v>61</v>
      </c>
      <c r="C12">
        <v>14</v>
      </c>
      <c r="D12">
        <f>2.3*16*C12</f>
        <v>515.19999999999993</v>
      </c>
      <c r="G12">
        <v>2340</v>
      </c>
      <c r="H12">
        <f>G12*H9</f>
        <v>2340</v>
      </c>
      <c r="I12">
        <f>G12*I9</f>
        <v>4680</v>
      </c>
      <c r="J12">
        <f>G12*J9</f>
        <v>46800</v>
      </c>
      <c r="K12">
        <f>G12*K9</f>
        <v>456300</v>
      </c>
      <c r="L12">
        <f>G12*L9</f>
        <v>4544280</v>
      </c>
    </row>
    <row r="13" spans="1:12">
      <c r="A13" t="s">
        <v>20</v>
      </c>
      <c r="B13" t="s">
        <v>34</v>
      </c>
      <c r="C13" t="s">
        <v>74</v>
      </c>
      <c r="G13">
        <f>2300*3</f>
        <v>6900</v>
      </c>
      <c r="H13">
        <f>G13*H9</f>
        <v>6900</v>
      </c>
      <c r="I13">
        <f>G13*I9</f>
        <v>13800</v>
      </c>
      <c r="J13">
        <f>G13*J9</f>
        <v>138000</v>
      </c>
      <c r="K13">
        <f>G13*K9</f>
        <v>1345500</v>
      </c>
      <c r="L13">
        <f>G13*L9</f>
        <v>13399800</v>
      </c>
    </row>
    <row r="14" spans="1:12">
      <c r="A14" t="s">
        <v>21</v>
      </c>
      <c r="B14" t="s">
        <v>35</v>
      </c>
      <c r="C14" t="s">
        <v>75</v>
      </c>
      <c r="G14">
        <f>130*24</f>
        <v>3120</v>
      </c>
      <c r="H14">
        <f>G14*H9</f>
        <v>3120</v>
      </c>
      <c r="I14">
        <f>G14*I9</f>
        <v>6240</v>
      </c>
      <c r="J14">
        <f>G14*J9</f>
        <v>62400</v>
      </c>
      <c r="K14">
        <f>G14*K9</f>
        <v>608400</v>
      </c>
      <c r="L14">
        <f>G14*L9</f>
        <v>6059040</v>
      </c>
    </row>
    <row r="15" spans="1:12">
      <c r="A15" t="s">
        <v>32</v>
      </c>
      <c r="B15" t="s">
        <v>63</v>
      </c>
      <c r="G15">
        <v>270</v>
      </c>
      <c r="H15">
        <f>G15*H9</f>
        <v>270</v>
      </c>
      <c r="I15">
        <f>G15*I9</f>
        <v>540</v>
      </c>
      <c r="J15">
        <f>G15*J9</f>
        <v>5400</v>
      </c>
      <c r="K15">
        <f>G15*K9</f>
        <v>52650</v>
      </c>
      <c r="L15">
        <f>G15*L9</f>
        <v>524340</v>
      </c>
    </row>
    <row r="16" spans="1:12">
      <c r="A16" t="s">
        <v>22</v>
      </c>
      <c r="B16" t="s">
        <v>55</v>
      </c>
      <c r="G16">
        <v>275</v>
      </c>
      <c r="H16">
        <v>275</v>
      </c>
      <c r="I16">
        <v>275</v>
      </c>
      <c r="J16">
        <v>275</v>
      </c>
      <c r="K16">
        <f>G16*8</f>
        <v>2200</v>
      </c>
      <c r="L16">
        <f>G16*80</f>
        <v>22000</v>
      </c>
    </row>
    <row r="17" spans="1:12">
      <c r="A17" t="s">
        <v>24</v>
      </c>
      <c r="B17" t="s">
        <v>33</v>
      </c>
      <c r="G17">
        <v>436</v>
      </c>
      <c r="H17">
        <v>436</v>
      </c>
      <c r="I17">
        <f>G17</f>
        <v>436</v>
      </c>
      <c r="J17">
        <v>436</v>
      </c>
      <c r="K17">
        <f>G17*8</f>
        <v>3488</v>
      </c>
      <c r="L17">
        <f>G17*80</f>
        <v>34880</v>
      </c>
    </row>
    <row r="18" spans="1:12">
      <c r="A18" t="s">
        <v>25</v>
      </c>
      <c r="G18">
        <v>600000</v>
      </c>
      <c r="H18">
        <v>600000</v>
      </c>
      <c r="I18">
        <f>G18</f>
        <v>600000</v>
      </c>
      <c r="J18">
        <f>G18</f>
        <v>600000</v>
      </c>
      <c r="K18">
        <f>G18</f>
        <v>600000</v>
      </c>
      <c r="L18">
        <f>G18</f>
        <v>600000</v>
      </c>
    </row>
    <row r="19" spans="1:12">
      <c r="A19" t="s">
        <v>26</v>
      </c>
      <c r="G19">
        <f>0.162*0.7*24*5*365</f>
        <v>4966.92</v>
      </c>
      <c r="H19">
        <f>G19*H9</f>
        <v>4966.92</v>
      </c>
      <c r="I19">
        <f>G19</f>
        <v>4966.92</v>
      </c>
      <c r="J19">
        <f>G19*10</f>
        <v>49669.2</v>
      </c>
      <c r="K19">
        <f>G19*98</f>
        <v>486758.16000000003</v>
      </c>
      <c r="L19">
        <f>G19*971</f>
        <v>4822879.32</v>
      </c>
    </row>
    <row r="20" spans="1:12">
      <c r="A20" t="s">
        <v>27</v>
      </c>
      <c r="G20">
        <f>0.162*0.135*24*5*365</f>
        <v>957.90600000000006</v>
      </c>
      <c r="H20">
        <f>G20*H9</f>
        <v>957.90600000000006</v>
      </c>
      <c r="I20">
        <f>G20*I9</f>
        <v>1915.8120000000001</v>
      </c>
      <c r="J20">
        <f>G20*J9</f>
        <v>19158.120000000003</v>
      </c>
      <c r="K20">
        <f>G20*K9</f>
        <v>186791.67</v>
      </c>
      <c r="L20">
        <f>G20*L9</f>
        <v>1860253.452</v>
      </c>
    </row>
    <row r="21" spans="1:12">
      <c r="A21" t="s">
        <v>49</v>
      </c>
      <c r="G21">
        <f t="shared" ref="G21:L21" si="1">SUM(G11:G20)</f>
        <v>619830.826</v>
      </c>
      <c r="H21">
        <f t="shared" si="1"/>
        <v>620395.826</v>
      </c>
      <c r="I21">
        <f t="shared" si="1"/>
        <v>633418.73200000008</v>
      </c>
      <c r="J21">
        <f t="shared" si="1"/>
        <v>927788.32</v>
      </c>
      <c r="K21">
        <f t="shared" si="1"/>
        <v>3797457.83</v>
      </c>
      <c r="L21">
        <f t="shared" si="1"/>
        <v>32416087.772</v>
      </c>
    </row>
    <row r="22" spans="1:12">
      <c r="A22" t="s">
        <v>52</v>
      </c>
      <c r="G22">
        <f>G21/(120*365)</f>
        <v>14.151388721461187</v>
      </c>
      <c r="H22">
        <f t="shared" ref="H22:L22" si="2">H21/(120*365)</f>
        <v>14.164288264840183</v>
      </c>
      <c r="I22">
        <f t="shared" si="2"/>
        <v>14.461614885844751</v>
      </c>
      <c r="J22">
        <f t="shared" si="2"/>
        <v>21.182381735159815</v>
      </c>
      <c r="K22">
        <f t="shared" si="2"/>
        <v>86.699950456621011</v>
      </c>
      <c r="L22">
        <f t="shared" si="2"/>
        <v>740.09332812785385</v>
      </c>
    </row>
    <row r="23" spans="1:12">
      <c r="A23" t="s">
        <v>51</v>
      </c>
      <c r="G23">
        <f>G22</f>
        <v>14.151388721461187</v>
      </c>
      <c r="H23">
        <f>H22/H7</f>
        <v>4.7214294216133945</v>
      </c>
      <c r="I23">
        <f>I22/I7</f>
        <v>2.410269147640792</v>
      </c>
      <c r="J23">
        <f>J22/J7</f>
        <v>0.33097471461187211</v>
      </c>
      <c r="K23">
        <f>K22/K7</f>
        <v>0.13359006233685827</v>
      </c>
      <c r="L23">
        <f>L22/L7</f>
        <v>0.11398326322622114</v>
      </c>
    </row>
    <row r="27" spans="1:12">
      <c r="B27">
        <v>1</v>
      </c>
      <c r="C27">
        <v>10</v>
      </c>
      <c r="D27">
        <v>35.200000000000003</v>
      </c>
      <c r="E27">
        <v>100</v>
      </c>
      <c r="F27">
        <v>1000</v>
      </c>
      <c r="G27">
        <v>10000</v>
      </c>
      <c r="H27">
        <v>100000</v>
      </c>
      <c r="I27">
        <v>1000000</v>
      </c>
    </row>
    <row r="28" spans="1:12">
      <c r="B28">
        <f>G23</f>
        <v>14.151388721461187</v>
      </c>
      <c r="C28">
        <f>G23</f>
        <v>14.151388721461187</v>
      </c>
      <c r="D28" s="5">
        <f>G23</f>
        <v>14.151388721461187</v>
      </c>
      <c r="E28">
        <f>G23</f>
        <v>14.151388721461187</v>
      </c>
      <c r="F28">
        <f>I23</f>
        <v>2.410269147640792</v>
      </c>
      <c r="G28">
        <f>J23</f>
        <v>0.33097471461187211</v>
      </c>
      <c r="H28">
        <f>K23</f>
        <v>0.13359006233685827</v>
      </c>
      <c r="I28">
        <f>L23</f>
        <v>0.11398326322622114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showRuler="0" workbookViewId="0">
      <selection activeCell="A2" sqref="A2:H16"/>
    </sheetView>
  </sheetViews>
  <sheetFormatPr baseColWidth="10" defaultRowHeight="15" x14ac:dyDescent="0"/>
  <sheetData>
    <row r="2" spans="1:8">
      <c r="B2">
        <v>1</v>
      </c>
      <c r="C2">
        <v>10</v>
      </c>
      <c r="D2">
        <v>100</v>
      </c>
      <c r="E2">
        <v>1000</v>
      </c>
      <c r="F2">
        <v>10000</v>
      </c>
      <c r="G2">
        <v>100000</v>
      </c>
      <c r="H2">
        <v>1000000</v>
      </c>
    </row>
    <row r="3" spans="1:8">
      <c r="A3" t="s">
        <v>76</v>
      </c>
      <c r="B3">
        <v>13.925272009132421</v>
      </c>
      <c r="C3">
        <v>13.925272009132421</v>
      </c>
      <c r="D3">
        <v>13.925272009132421</v>
      </c>
      <c r="E3">
        <v>6.698907126908453E-2</v>
      </c>
      <c r="F3">
        <v>1.2543766882114605E-2</v>
      </c>
      <c r="G3">
        <v>7.1151807246344484E-3</v>
      </c>
      <c r="H3">
        <v>6.5726506215230849E-3</v>
      </c>
    </row>
    <row r="4" spans="1:8">
      <c r="A4" t="s">
        <v>77</v>
      </c>
      <c r="B4">
        <v>13.915249178082192</v>
      </c>
      <c r="C4">
        <v>13.915249178082192</v>
      </c>
      <c r="D4">
        <v>13.915249178082192</v>
      </c>
      <c r="E4">
        <v>0.44430267257587958</v>
      </c>
      <c r="F4">
        <v>7.8788410461723635E-2</v>
      </c>
      <c r="G4">
        <v>4.3387837894318881E-2</v>
      </c>
      <c r="H4">
        <v>3.9855602504004328E-2</v>
      </c>
    </row>
    <row r="5" spans="1:8" ht="18" customHeight="1">
      <c r="A5" t="s">
        <v>78</v>
      </c>
      <c r="B5">
        <v>14.004448082191781</v>
      </c>
      <c r="C5">
        <v>14.004448082191781</v>
      </c>
      <c r="D5">
        <v>14.004448082191781</v>
      </c>
      <c r="E5">
        <v>7.0961042465753437</v>
      </c>
      <c r="F5">
        <v>0.88039608610567499</v>
      </c>
      <c r="G5">
        <v>0.28777536747118937</v>
      </c>
      <c r="H5">
        <v>0.22742382168342101</v>
      </c>
    </row>
    <row r="6" spans="1:8">
      <c r="A6" t="s">
        <v>79</v>
      </c>
      <c r="B6">
        <v>14.102045141552511</v>
      </c>
      <c r="C6">
        <v>14.102045141552511</v>
      </c>
      <c r="D6">
        <v>14.102045141552511</v>
      </c>
      <c r="E6">
        <v>14.102045141552511</v>
      </c>
      <c r="F6">
        <v>0.25547030126489267</v>
      </c>
      <c r="G6">
        <v>0.11198550003657147</v>
      </c>
      <c r="H6">
        <v>9.7728539753087207E-2</v>
      </c>
    </row>
    <row r="7" spans="1:8">
      <c r="A7" t="s">
        <v>80</v>
      </c>
      <c r="B7">
        <v>14.08472205479452</v>
      </c>
      <c r="C7">
        <v>14.08472205479452</v>
      </c>
      <c r="D7">
        <v>14.08472205479452</v>
      </c>
      <c r="E7">
        <v>3.6034630821917815</v>
      </c>
      <c r="F7">
        <v>0.48150595731124562</v>
      </c>
      <c r="G7">
        <v>0.18774165020950231</v>
      </c>
      <c r="H7">
        <v>0.15874505382276419</v>
      </c>
    </row>
    <row r="8" spans="1:8">
      <c r="A8" t="s">
        <v>81</v>
      </c>
      <c r="B8">
        <v>14.174311095890411</v>
      </c>
      <c r="C8">
        <v>14.174311095890411</v>
      </c>
      <c r="D8">
        <v>14.174311095890411</v>
      </c>
      <c r="E8">
        <v>7.2964695433789961</v>
      </c>
      <c r="F8">
        <v>1.0712201782996302</v>
      </c>
      <c r="G8">
        <v>0.45644064241129406</v>
      </c>
      <c r="H8">
        <v>0.39707511543002827</v>
      </c>
    </row>
    <row r="9" spans="1:8">
      <c r="A9" t="s">
        <v>82</v>
      </c>
      <c r="B9">
        <v>14.151388721461187</v>
      </c>
      <c r="C9">
        <v>14.151388721461187</v>
      </c>
      <c r="D9">
        <v>14.151388721461187</v>
      </c>
      <c r="E9">
        <v>2.4316618417047189</v>
      </c>
      <c r="F9">
        <v>0.35103036529680365</v>
      </c>
      <c r="G9">
        <v>0.15287315328816375</v>
      </c>
      <c r="H9">
        <v>0.13317837112956912</v>
      </c>
    </row>
    <row r="10" spans="1:8" ht="18">
      <c r="A10" s="1" t="s">
        <v>1</v>
      </c>
      <c r="B10" s="2">
        <v>2.5999999999999999E-2</v>
      </c>
      <c r="C10" s="2">
        <v>2.5999999999999999E-2</v>
      </c>
      <c r="D10" s="2">
        <v>2.5999999999999999E-2</v>
      </c>
      <c r="E10" s="2">
        <v>2.5999999999999999E-2</v>
      </c>
      <c r="F10" s="2">
        <v>2.5999999999999999E-2</v>
      </c>
      <c r="G10" s="2">
        <v>2.5999999999999999E-2</v>
      </c>
      <c r="H10" s="2">
        <v>2.5999999999999999E-2</v>
      </c>
    </row>
    <row r="11" spans="1:8" ht="18">
      <c r="A11" s="1" t="s">
        <v>2</v>
      </c>
      <c r="B11" s="2">
        <v>0.14000000000000001</v>
      </c>
      <c r="C11" s="2">
        <v>0.14000000000000001</v>
      </c>
      <c r="D11" s="2">
        <v>0.14000000000000001</v>
      </c>
      <c r="E11" s="2">
        <v>0.14000000000000001</v>
      </c>
      <c r="F11" s="2">
        <v>0.14000000000000001</v>
      </c>
      <c r="G11" s="2">
        <v>0.14000000000000001</v>
      </c>
      <c r="H11" s="2">
        <v>0.14000000000000001</v>
      </c>
    </row>
    <row r="12" spans="1:8" ht="18">
      <c r="A12" s="1" t="s">
        <v>3</v>
      </c>
      <c r="B12" s="2">
        <v>1.68</v>
      </c>
      <c r="C12" s="2">
        <v>1.68</v>
      </c>
      <c r="D12" s="2">
        <v>1.68</v>
      </c>
      <c r="E12" s="2">
        <v>1.68</v>
      </c>
      <c r="F12" s="2">
        <v>1.68</v>
      </c>
      <c r="G12" s="2">
        <v>1.68</v>
      </c>
      <c r="H12" s="2">
        <v>1.68</v>
      </c>
    </row>
    <row r="13" spans="1:8" ht="18">
      <c r="A13" s="1" t="s">
        <v>4</v>
      </c>
      <c r="B13" s="2">
        <v>0.65</v>
      </c>
      <c r="C13" s="2">
        <v>0.65</v>
      </c>
      <c r="D13" s="2">
        <v>0.65</v>
      </c>
      <c r="E13" s="2">
        <v>0.65</v>
      </c>
      <c r="F13" s="2">
        <v>0.65</v>
      </c>
      <c r="G13" s="2">
        <v>0.65</v>
      </c>
      <c r="H13" s="2">
        <v>0.65</v>
      </c>
    </row>
    <row r="14" spans="1:8" ht="18">
      <c r="A14" s="1" t="s">
        <v>5</v>
      </c>
      <c r="B14" s="2">
        <v>1.4</v>
      </c>
      <c r="C14" s="2">
        <v>1.4</v>
      </c>
      <c r="D14" s="2">
        <v>1.4</v>
      </c>
      <c r="E14" s="2">
        <v>1.4</v>
      </c>
      <c r="F14" s="2">
        <v>1.4</v>
      </c>
      <c r="G14" s="2">
        <v>1.4</v>
      </c>
      <c r="H14" s="2">
        <v>1.4</v>
      </c>
    </row>
    <row r="15" spans="1:8" ht="18">
      <c r="A15" s="1" t="s">
        <v>6</v>
      </c>
      <c r="B15" s="2">
        <v>6.82</v>
      </c>
      <c r="C15" s="2">
        <v>6.82</v>
      </c>
      <c r="D15" s="2">
        <v>6.82</v>
      </c>
      <c r="E15" s="2">
        <v>6.82</v>
      </c>
      <c r="F15" s="2">
        <v>6.82</v>
      </c>
      <c r="G15" s="2">
        <v>6.82</v>
      </c>
      <c r="H15" s="2">
        <v>6.82</v>
      </c>
    </row>
    <row r="16" spans="1:8" ht="18">
      <c r="A16" s="1" t="s">
        <v>7</v>
      </c>
      <c r="B16" s="2">
        <v>4.5999999999999996</v>
      </c>
      <c r="C16" s="2">
        <v>4.5999999999999996</v>
      </c>
      <c r="D16" s="2">
        <v>4.5999999999999996</v>
      </c>
      <c r="E16" s="2">
        <v>4.5999999999999996</v>
      </c>
      <c r="F16" s="2">
        <v>4.5999999999999996</v>
      </c>
      <c r="G16" s="2">
        <v>4.5999999999999996</v>
      </c>
      <c r="H16" s="2">
        <v>4.5999999999999996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t2.small</vt:lpstr>
      <vt:lpstr>m3.large</vt:lpstr>
      <vt:lpstr>c3.8xlarge</vt:lpstr>
      <vt:lpstr>g2.2xlarge</vt:lpstr>
      <vt:lpstr>r3.4xlarge</vt:lpstr>
      <vt:lpstr>i2.8xlarge</vt:lpstr>
      <vt:lpstr>hs1.8xlarge</vt:lpstr>
      <vt:lpstr>Cost per Instance</vt:lpstr>
      <vt:lpstr>Cost per GFLOPS</vt:lpstr>
      <vt:lpstr>Utilization</vt:lpstr>
    </vt:vector>
  </TitlesOfParts>
  <Company>tree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chintan patel</dc:creator>
  <cp:lastModifiedBy>chintan patel</cp:lastModifiedBy>
  <dcterms:created xsi:type="dcterms:W3CDTF">2014-11-17T02:26:11Z</dcterms:created>
  <dcterms:modified xsi:type="dcterms:W3CDTF">2014-12-01T23:16:21Z</dcterms:modified>
</cp:coreProperties>
</file>