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8595" windowHeight="7230"/>
  </bookViews>
  <sheets>
    <sheet name="ABOUT THIS BOOK" sheetId="21" r:id="rId1"/>
    <sheet name="Processing Ivanek Feed Imped" sheetId="1" r:id="rId2"/>
    <sheet name="Figure 2,3 table" sheetId="8" r:id="rId3"/>
    <sheet name="Reverse Calc Test Table 3" sheetId="7" r:id="rId4"/>
    <sheet name="Rail AND Ballast Regression" sheetId="3" r:id="rId5"/>
    <sheet name="New Parasitic Regress I" sheetId="13" r:id="rId6"/>
    <sheet name="Ballast Model USE THIS" sheetId="18" r:id="rId7"/>
    <sheet name="Rectangle Formula" sheetId="19" r:id="rId8"/>
    <sheet name="PAYNE Equations" sheetId="20" r:id="rId9"/>
  </sheets>
  <externalReferences>
    <externalReference r:id="rId10"/>
  </externalReferences>
  <calcPr calcId="145621"/>
</workbook>
</file>

<file path=xl/calcChain.xml><?xml version="1.0" encoding="utf-8"?>
<calcChain xmlns="http://schemas.openxmlformats.org/spreadsheetml/2006/main">
  <c r="W89" i="20" l="1"/>
  <c r="V89" i="20"/>
  <c r="U89" i="20"/>
  <c r="T89" i="20"/>
  <c r="S89" i="20"/>
  <c r="R89" i="20"/>
  <c r="Q89" i="20"/>
  <c r="P89" i="20"/>
  <c r="O89" i="20"/>
  <c r="N89" i="20"/>
  <c r="M89" i="20"/>
  <c r="L89" i="20"/>
  <c r="K89" i="20"/>
  <c r="J89" i="20"/>
  <c r="W66" i="20"/>
  <c r="V66" i="20"/>
  <c r="U66" i="20"/>
  <c r="T66" i="20"/>
  <c r="S66" i="20"/>
  <c r="R66" i="20"/>
  <c r="Q66" i="20"/>
  <c r="P66" i="20"/>
  <c r="O66" i="20"/>
  <c r="N66" i="20"/>
  <c r="M66" i="20"/>
  <c r="L66" i="20"/>
  <c r="K66" i="20"/>
  <c r="J66" i="20"/>
  <c r="W55" i="20"/>
  <c r="V55" i="20"/>
  <c r="U55" i="20"/>
  <c r="T55" i="20"/>
  <c r="S55" i="20"/>
  <c r="R55" i="20"/>
  <c r="Q55" i="20"/>
  <c r="P55" i="20"/>
  <c r="O55" i="20"/>
  <c r="N55" i="20"/>
  <c r="M55" i="20"/>
  <c r="L55" i="20"/>
  <c r="K55" i="20"/>
  <c r="J55" i="20"/>
  <c r="AH49" i="20"/>
  <c r="B49" i="20"/>
  <c r="B48" i="20"/>
  <c r="W44" i="20"/>
  <c r="V44" i="20"/>
  <c r="U44" i="20"/>
  <c r="T44" i="20"/>
  <c r="S44" i="20"/>
  <c r="R44" i="20"/>
  <c r="Q44" i="20"/>
  <c r="P44" i="20"/>
  <c r="O44" i="20"/>
  <c r="N44" i="20"/>
  <c r="M44" i="20"/>
  <c r="L44" i="20"/>
  <c r="K44" i="20"/>
  <c r="J44" i="20"/>
  <c r="AH37" i="20"/>
  <c r="W20" i="20"/>
  <c r="V20" i="20"/>
  <c r="U20" i="20"/>
  <c r="T20" i="20"/>
  <c r="S20" i="20"/>
  <c r="R20" i="20"/>
  <c r="Q20" i="20"/>
  <c r="P20" i="20"/>
  <c r="O20" i="20"/>
  <c r="N20" i="20"/>
  <c r="M20" i="20"/>
  <c r="L20" i="20"/>
  <c r="K20" i="20"/>
  <c r="J20" i="20"/>
  <c r="AH19" i="20"/>
  <c r="W19" i="20"/>
  <c r="W23" i="20" s="1"/>
  <c r="V19" i="20"/>
  <c r="V23" i="20" s="1"/>
  <c r="U19" i="20"/>
  <c r="U23" i="20" s="1"/>
  <c r="T19" i="20"/>
  <c r="T23" i="20" s="1"/>
  <c r="S19" i="20"/>
  <c r="S23" i="20" s="1"/>
  <c r="R19" i="20"/>
  <c r="R23" i="20" s="1"/>
  <c r="Q19" i="20"/>
  <c r="Q23" i="20" s="1"/>
  <c r="P19" i="20"/>
  <c r="P23" i="20" s="1"/>
  <c r="O19" i="20"/>
  <c r="O23" i="20" s="1"/>
  <c r="N19" i="20"/>
  <c r="N23" i="20" s="1"/>
  <c r="M19" i="20"/>
  <c r="M23" i="20" s="1"/>
  <c r="L19" i="20"/>
  <c r="L23" i="20" s="1"/>
  <c r="K19" i="20"/>
  <c r="K23" i="20" s="1"/>
  <c r="J19" i="20"/>
  <c r="J23" i="20" s="1"/>
  <c r="AH15" i="20"/>
  <c r="AH17" i="20" s="1"/>
  <c r="W15" i="20"/>
  <c r="V15" i="20"/>
  <c r="V17" i="20" s="1"/>
  <c r="U15" i="20"/>
  <c r="T15" i="20"/>
  <c r="T17" i="20" s="1"/>
  <c r="S15" i="20"/>
  <c r="R15" i="20"/>
  <c r="R17" i="20" s="1"/>
  <c r="Q15" i="20"/>
  <c r="P15" i="20"/>
  <c r="P17" i="20" s="1"/>
  <c r="O15" i="20"/>
  <c r="N15" i="20"/>
  <c r="N17" i="20" s="1"/>
  <c r="M15" i="20"/>
  <c r="L15" i="20"/>
  <c r="L17" i="20" s="1"/>
  <c r="K15" i="20"/>
  <c r="J15" i="20"/>
  <c r="J17" i="20" s="1"/>
  <c r="A8" i="20"/>
  <c r="W17" i="20" s="1"/>
  <c r="AH4" i="20"/>
  <c r="AH47" i="20" s="1"/>
  <c r="W4" i="20"/>
  <c r="W53" i="20" s="1"/>
  <c r="V4" i="20"/>
  <c r="V53" i="20" s="1"/>
  <c r="U4" i="20"/>
  <c r="U53" i="20" s="1"/>
  <c r="T4" i="20"/>
  <c r="T53" i="20" s="1"/>
  <c r="S4" i="20"/>
  <c r="S53" i="20" s="1"/>
  <c r="R4" i="20"/>
  <c r="R53" i="20" s="1"/>
  <c r="Q4" i="20"/>
  <c r="Q53" i="20" s="1"/>
  <c r="P4" i="20"/>
  <c r="P53" i="20" s="1"/>
  <c r="O4" i="20"/>
  <c r="O53" i="20" s="1"/>
  <c r="N4" i="20"/>
  <c r="N53" i="20" s="1"/>
  <c r="M4" i="20"/>
  <c r="M53" i="20" s="1"/>
  <c r="L4" i="20"/>
  <c r="L53" i="20" s="1"/>
  <c r="K4" i="20"/>
  <c r="K53" i="20" s="1"/>
  <c r="J4" i="20"/>
  <c r="J53" i="20" s="1"/>
  <c r="AH3" i="20"/>
  <c r="AH57" i="20" s="1"/>
  <c r="W3" i="20"/>
  <c r="W63" i="20" s="1"/>
  <c r="V3" i="20"/>
  <c r="V63" i="20" s="1"/>
  <c r="U3" i="20"/>
  <c r="U63" i="20" s="1"/>
  <c r="T3" i="20"/>
  <c r="T63" i="20" s="1"/>
  <c r="S3" i="20"/>
  <c r="S63" i="20" s="1"/>
  <c r="R3" i="20"/>
  <c r="R63" i="20" s="1"/>
  <c r="Q3" i="20"/>
  <c r="Q63" i="20" s="1"/>
  <c r="P3" i="20"/>
  <c r="P63" i="20" s="1"/>
  <c r="O3" i="20"/>
  <c r="O63" i="20" s="1"/>
  <c r="N3" i="20"/>
  <c r="N63" i="20" s="1"/>
  <c r="M3" i="20"/>
  <c r="M63" i="20" s="1"/>
  <c r="L3" i="20"/>
  <c r="L63" i="20" s="1"/>
  <c r="K3" i="20"/>
  <c r="K63" i="20" s="1"/>
  <c r="J3" i="20"/>
  <c r="J63" i="20" s="1"/>
  <c r="L31" i="19"/>
  <c r="F27" i="19"/>
  <c r="F31" i="19" s="1"/>
  <c r="O25" i="19"/>
  <c r="O24" i="19"/>
  <c r="F24" i="19"/>
  <c r="K33" i="20" l="1"/>
  <c r="K35" i="20"/>
  <c r="K37" i="20" s="1"/>
  <c r="K39" i="20" s="1"/>
  <c r="K40" i="20" s="1"/>
  <c r="K31" i="20"/>
  <c r="K25" i="20"/>
  <c r="M33" i="20"/>
  <c r="M35" i="20"/>
  <c r="M37" i="20" s="1"/>
  <c r="M39" i="20" s="1"/>
  <c r="M40" i="20" s="1"/>
  <c r="M31" i="20"/>
  <c r="M25" i="20"/>
  <c r="O33" i="20"/>
  <c r="O35" i="20"/>
  <c r="O37" i="20" s="1"/>
  <c r="O39" i="20" s="1"/>
  <c r="O40" i="20" s="1"/>
  <c r="O31" i="20"/>
  <c r="O25" i="20"/>
  <c r="Q33" i="20"/>
  <c r="Q35" i="20"/>
  <c r="Q37" i="20" s="1"/>
  <c r="Q39" i="20" s="1"/>
  <c r="Q40" i="20" s="1"/>
  <c r="Q31" i="20"/>
  <c r="Q25" i="20"/>
  <c r="S33" i="20"/>
  <c r="S35" i="20"/>
  <c r="S37" i="20" s="1"/>
  <c r="S39" i="20" s="1"/>
  <c r="S40" i="20" s="1"/>
  <c r="S25" i="20"/>
  <c r="S31" i="20"/>
  <c r="U33" i="20"/>
  <c r="U35" i="20"/>
  <c r="U37" i="20" s="1"/>
  <c r="U39" i="20" s="1"/>
  <c r="U40" i="20" s="1"/>
  <c r="U31" i="20"/>
  <c r="U25" i="20"/>
  <c r="W33" i="20"/>
  <c r="W35" i="20"/>
  <c r="W37" i="20" s="1"/>
  <c r="W39" i="20" s="1"/>
  <c r="W40" i="20" s="1"/>
  <c r="W25" i="20"/>
  <c r="W31" i="20"/>
  <c r="J35" i="20"/>
  <c r="J37" i="20" s="1"/>
  <c r="J39" i="20" s="1"/>
  <c r="J40" i="20" s="1"/>
  <c r="J33" i="20"/>
  <c r="J31" i="20"/>
  <c r="J25" i="20"/>
  <c r="L35" i="20"/>
  <c r="L37" i="20" s="1"/>
  <c r="L39" i="20" s="1"/>
  <c r="L40" i="20" s="1"/>
  <c r="L33" i="20"/>
  <c r="L31" i="20"/>
  <c r="L25" i="20"/>
  <c r="N35" i="20"/>
  <c r="N37" i="20" s="1"/>
  <c r="N39" i="20" s="1"/>
  <c r="N40" i="20" s="1"/>
  <c r="N33" i="20"/>
  <c r="N31" i="20"/>
  <c r="N25" i="20"/>
  <c r="P35" i="20"/>
  <c r="P37" i="20" s="1"/>
  <c r="P39" i="20" s="1"/>
  <c r="P40" i="20" s="1"/>
  <c r="P33" i="20"/>
  <c r="P31" i="20"/>
  <c r="P25" i="20"/>
  <c r="R35" i="20"/>
  <c r="R37" i="20" s="1"/>
  <c r="R39" i="20" s="1"/>
  <c r="R40" i="20" s="1"/>
  <c r="R31" i="20"/>
  <c r="R33" i="20"/>
  <c r="R25" i="20"/>
  <c r="T35" i="20"/>
  <c r="T37" i="20" s="1"/>
  <c r="T39" i="20" s="1"/>
  <c r="T40" i="20" s="1"/>
  <c r="T31" i="20"/>
  <c r="T33" i="20"/>
  <c r="T25" i="20"/>
  <c r="V35" i="20"/>
  <c r="V37" i="20" s="1"/>
  <c r="V39" i="20" s="1"/>
  <c r="V40" i="20" s="1"/>
  <c r="V31" i="20"/>
  <c r="V33" i="20"/>
  <c r="V25" i="20"/>
  <c r="K17" i="20"/>
  <c r="M17" i="20"/>
  <c r="M46" i="20" s="1"/>
  <c r="O17" i="20"/>
  <c r="Q17" i="20"/>
  <c r="Q46" i="20" s="1"/>
  <c r="S17" i="20"/>
  <c r="U17" i="20"/>
  <c r="U46" i="20" s="1"/>
  <c r="AH23" i="20"/>
  <c r="J46" i="20"/>
  <c r="L46" i="20"/>
  <c r="N46" i="20"/>
  <c r="P46" i="20"/>
  <c r="R46" i="20"/>
  <c r="T46" i="20"/>
  <c r="V46" i="20"/>
  <c r="J57" i="20"/>
  <c r="L57" i="20"/>
  <c r="N57" i="20"/>
  <c r="P57" i="20"/>
  <c r="T57" i="20"/>
  <c r="AH39" i="20"/>
  <c r="K46" i="20"/>
  <c r="O46" i="20"/>
  <c r="S46" i="20"/>
  <c r="W46" i="20"/>
  <c r="K57" i="20"/>
  <c r="M57" i="20"/>
  <c r="O57" i="20"/>
  <c r="Q57" i="20"/>
  <c r="S57" i="20"/>
  <c r="U57" i="20"/>
  <c r="W57" i="20"/>
  <c r="W67" i="20" l="1"/>
  <c r="O67" i="20"/>
  <c r="L67" i="20"/>
  <c r="AH29" i="20"/>
  <c r="AH31" i="20" s="1"/>
  <c r="AH33" i="20" s="1"/>
  <c r="AH51" i="20" s="1"/>
  <c r="AH27" i="20"/>
  <c r="U27" i="20"/>
  <c r="U29" i="20"/>
  <c r="Q27" i="20"/>
  <c r="Q29" i="20"/>
  <c r="O27" i="20"/>
  <c r="O29" i="20"/>
  <c r="M27" i="20"/>
  <c r="M29" i="20"/>
  <c r="K27" i="20"/>
  <c r="K29" i="20"/>
  <c r="S67" i="20"/>
  <c r="K67" i="20"/>
  <c r="T67" i="20"/>
  <c r="P67" i="20"/>
  <c r="U67" i="20"/>
  <c r="Q67" i="20"/>
  <c r="M67" i="20"/>
  <c r="V57" i="20"/>
  <c r="R57" i="20"/>
  <c r="N67" i="20"/>
  <c r="J67" i="20"/>
  <c r="V29" i="20"/>
  <c r="V27" i="20"/>
  <c r="T29" i="20"/>
  <c r="T27" i="20"/>
  <c r="R29" i="20"/>
  <c r="R27" i="20"/>
  <c r="P29" i="20"/>
  <c r="P27" i="20"/>
  <c r="N29" i="20"/>
  <c r="N27" i="20"/>
  <c r="L29" i="20"/>
  <c r="L27" i="20"/>
  <c r="J29" i="20"/>
  <c r="J27" i="20"/>
  <c r="W27" i="20"/>
  <c r="W29" i="20"/>
  <c r="S27" i="20"/>
  <c r="S29" i="20"/>
  <c r="W42" i="20" l="1"/>
  <c r="V67" i="20"/>
  <c r="K42" i="20"/>
  <c r="M42" i="20"/>
  <c r="O42" i="20"/>
  <c r="Q42" i="20"/>
  <c r="U42" i="20"/>
  <c r="S42" i="20"/>
  <c r="J42" i="20"/>
  <c r="L42" i="20"/>
  <c r="N42" i="20"/>
  <c r="P42" i="20"/>
  <c r="R42" i="20"/>
  <c r="T42" i="20"/>
  <c r="V42" i="20"/>
  <c r="R67" i="20"/>
  <c r="AH35" i="20"/>
  <c r="AH44" i="20" l="1"/>
  <c r="AH52" i="20"/>
  <c r="T50" i="20"/>
  <c r="T58" i="20"/>
  <c r="U58" i="20"/>
  <c r="U50" i="20"/>
  <c r="Q58" i="20"/>
  <c r="Q50" i="20"/>
  <c r="O50" i="20"/>
  <c r="O58" i="20"/>
  <c r="M58" i="20"/>
  <c r="M50" i="20"/>
  <c r="K50" i="20"/>
  <c r="K58" i="20"/>
  <c r="V58" i="20"/>
  <c r="V50" i="20"/>
  <c r="R58" i="20"/>
  <c r="R50" i="20"/>
  <c r="P58" i="20"/>
  <c r="P50" i="20"/>
  <c r="N58" i="20"/>
  <c r="N50" i="20"/>
  <c r="L50" i="20"/>
  <c r="L58" i="20"/>
  <c r="J58" i="20"/>
  <c r="J50" i="20"/>
  <c r="S50" i="20"/>
  <c r="S58" i="20"/>
  <c r="W50" i="20"/>
  <c r="W58" i="20"/>
  <c r="W11" i="20" l="1"/>
  <c r="S52" i="20"/>
  <c r="S10" i="20"/>
  <c r="S48" i="20" s="1"/>
  <c r="S90" i="20" s="1"/>
  <c r="J11" i="20"/>
  <c r="J60" i="20" s="1"/>
  <c r="L10" i="20"/>
  <c r="L48" i="20" s="1"/>
  <c r="L90" i="20" s="1"/>
  <c r="N11" i="20"/>
  <c r="P11" i="20"/>
  <c r="R11" i="20"/>
  <c r="V11" i="20"/>
  <c r="K52" i="20"/>
  <c r="K10" i="20"/>
  <c r="K48" i="20" s="1"/>
  <c r="K90" i="20" s="1"/>
  <c r="M60" i="20"/>
  <c r="M11" i="20"/>
  <c r="O10" i="20"/>
  <c r="O48" i="20" s="1"/>
  <c r="O90" i="20" s="1"/>
  <c r="Q11" i="20"/>
  <c r="U11" i="20"/>
  <c r="T52" i="20"/>
  <c r="T10" i="20"/>
  <c r="T48" i="20" s="1"/>
  <c r="T90" i="20" s="1"/>
  <c r="AH54" i="20"/>
  <c r="AH56" i="20" s="1"/>
  <c r="AH11" i="20"/>
  <c r="W10" i="20"/>
  <c r="W48" i="20" s="1"/>
  <c r="W90" i="20" s="1"/>
  <c r="S11" i="20"/>
  <c r="J52" i="20"/>
  <c r="J10" i="20"/>
  <c r="J48" i="20" s="1"/>
  <c r="J90" i="20" s="1"/>
  <c r="L60" i="20"/>
  <c r="L11" i="20"/>
  <c r="N10" i="20"/>
  <c r="N48" i="20" s="1"/>
  <c r="N90" i="20" s="1"/>
  <c r="P52" i="20"/>
  <c r="P10" i="20"/>
  <c r="P48" i="20" s="1"/>
  <c r="P90" i="20" s="1"/>
  <c r="R10" i="20"/>
  <c r="R48" i="20" s="1"/>
  <c r="R90" i="20" s="1"/>
  <c r="V52" i="20"/>
  <c r="V10" i="20"/>
  <c r="V48" i="20" s="1"/>
  <c r="V90" i="20" s="1"/>
  <c r="K60" i="20"/>
  <c r="K11" i="20"/>
  <c r="M10" i="20"/>
  <c r="M48" i="20" s="1"/>
  <c r="M90" i="20" s="1"/>
  <c r="O11" i="20"/>
  <c r="Q52" i="20"/>
  <c r="Q10" i="20"/>
  <c r="Q48" i="20" s="1"/>
  <c r="Q90" i="20" s="1"/>
  <c r="U10" i="20"/>
  <c r="U48" i="20" s="1"/>
  <c r="U90" i="20" s="1"/>
  <c r="U91" i="20" s="1"/>
  <c r="T11" i="20"/>
  <c r="AH10" i="20"/>
  <c r="AH42" i="20" s="1"/>
  <c r="AH46" i="20" s="1"/>
  <c r="J68" i="20" l="1"/>
  <c r="J69" i="20" s="1"/>
  <c r="J62" i="20"/>
  <c r="T21" i="20"/>
  <c r="T12" i="20"/>
  <c r="M91" i="20"/>
  <c r="M92" i="20" s="1"/>
  <c r="K68" i="20"/>
  <c r="K69" i="20" s="1"/>
  <c r="K62" i="20"/>
  <c r="R91" i="20"/>
  <c r="R92" i="20" s="1"/>
  <c r="N91" i="20"/>
  <c r="N92" i="20" s="1"/>
  <c r="L68" i="20"/>
  <c r="L69" i="20" s="1"/>
  <c r="L62" i="20"/>
  <c r="S21" i="20"/>
  <c r="S12" i="20"/>
  <c r="W91" i="20"/>
  <c r="W92" i="20" s="1"/>
  <c r="U21" i="20"/>
  <c r="U12" i="20"/>
  <c r="Q21" i="20"/>
  <c r="Q12" i="20"/>
  <c r="O91" i="20"/>
  <c r="O92" i="20" s="1"/>
  <c r="M68" i="20"/>
  <c r="M69" i="20" s="1"/>
  <c r="M62" i="20"/>
  <c r="V21" i="20"/>
  <c r="V12" i="20"/>
  <c r="R21" i="20"/>
  <c r="R12" i="20"/>
  <c r="P21" i="20"/>
  <c r="P12" i="20"/>
  <c r="N21" i="20"/>
  <c r="N12" i="20"/>
  <c r="L92" i="20"/>
  <c r="L91" i="20"/>
  <c r="W21" i="20"/>
  <c r="W12" i="20"/>
  <c r="U92" i="20"/>
  <c r="O21" i="20"/>
  <c r="O12" i="20"/>
  <c r="T60" i="20"/>
  <c r="U52" i="20"/>
  <c r="Q91" i="20"/>
  <c r="Q92" i="20" s="1"/>
  <c r="O60" i="20"/>
  <c r="M52" i="20"/>
  <c r="K21" i="20"/>
  <c r="K12" i="20"/>
  <c r="V91" i="20"/>
  <c r="V92" i="20" s="1"/>
  <c r="R52" i="20"/>
  <c r="P92" i="20"/>
  <c r="P91" i="20"/>
  <c r="N52" i="20"/>
  <c r="L21" i="20"/>
  <c r="L12" i="20"/>
  <c r="J91" i="20"/>
  <c r="J92" i="20" s="1"/>
  <c r="S60" i="20"/>
  <c r="W52" i="20"/>
  <c r="T91" i="20"/>
  <c r="T92" i="20" s="1"/>
  <c r="U60" i="20"/>
  <c r="Q60" i="20"/>
  <c r="O52" i="20"/>
  <c r="M21" i="20"/>
  <c r="M12" i="20"/>
  <c r="K92" i="20"/>
  <c r="K91" i="20"/>
  <c r="V60" i="20"/>
  <c r="R60" i="20"/>
  <c r="P60" i="20"/>
  <c r="N60" i="20"/>
  <c r="L52" i="20"/>
  <c r="J21" i="20"/>
  <c r="J12" i="20"/>
  <c r="S91" i="20"/>
  <c r="S92" i="20" s="1"/>
  <c r="W60" i="20"/>
  <c r="W68" i="20" l="1"/>
  <c r="W69" i="20" s="1"/>
  <c r="W62" i="20"/>
  <c r="N68" i="20"/>
  <c r="N69" i="20" s="1"/>
  <c r="N62" i="20"/>
  <c r="R68" i="20"/>
  <c r="R69" i="20" s="1"/>
  <c r="R62" i="20"/>
  <c r="U68" i="20"/>
  <c r="U69" i="20" s="1"/>
  <c r="U62" i="20"/>
  <c r="S68" i="20"/>
  <c r="S69" i="20" s="1"/>
  <c r="S62" i="20"/>
  <c r="O68" i="20"/>
  <c r="O69" i="20" s="1"/>
  <c r="O62" i="20"/>
  <c r="T68" i="20"/>
  <c r="T69" i="20" s="1"/>
  <c r="T62" i="20"/>
  <c r="P68" i="20"/>
  <c r="P69" i="20" s="1"/>
  <c r="P62" i="20"/>
  <c r="V68" i="20"/>
  <c r="V69" i="20" s="1"/>
  <c r="V62" i="20"/>
  <c r="Q68" i="20"/>
  <c r="Q69" i="20" s="1"/>
  <c r="Q62" i="20"/>
  <c r="W29" i="3" l="1"/>
  <c r="X25" i="3"/>
  <c r="X47" i="3"/>
  <c r="H44" i="18" l="1"/>
  <c r="H43" i="18"/>
  <c r="H42" i="18"/>
  <c r="H41" i="18"/>
  <c r="H40" i="18"/>
  <c r="H39" i="18"/>
  <c r="H38" i="18"/>
  <c r="H37" i="18"/>
  <c r="H36" i="18"/>
  <c r="H35" i="18"/>
  <c r="H34" i="18"/>
  <c r="H33" i="18"/>
  <c r="G77" i="18" l="1"/>
  <c r="F77" i="18"/>
  <c r="G76" i="18"/>
  <c r="F76" i="18"/>
  <c r="G75" i="18"/>
  <c r="F75" i="18"/>
  <c r="G74" i="18"/>
  <c r="F74" i="18"/>
  <c r="G73" i="18"/>
  <c r="F73" i="18"/>
  <c r="G72" i="18"/>
  <c r="F72" i="18"/>
  <c r="G71" i="18"/>
  <c r="F71" i="18"/>
  <c r="G70" i="18"/>
  <c r="F70" i="18"/>
  <c r="G69" i="18"/>
  <c r="F69" i="18"/>
  <c r="G68" i="18"/>
  <c r="F68" i="18"/>
  <c r="G67" i="18"/>
  <c r="F67" i="18"/>
  <c r="G66" i="18"/>
  <c r="F66" i="18"/>
  <c r="G50" i="18"/>
  <c r="F50" i="18"/>
  <c r="G61" i="18"/>
  <c r="G60" i="18"/>
  <c r="G59" i="18"/>
  <c r="G58" i="18"/>
  <c r="G57" i="18"/>
  <c r="G56" i="18"/>
  <c r="G55" i="18"/>
  <c r="G54" i="18"/>
  <c r="G53" i="18"/>
  <c r="G52" i="18"/>
  <c r="G51" i="18"/>
  <c r="F61" i="18"/>
  <c r="F60" i="18"/>
  <c r="F59" i="18"/>
  <c r="F58" i="18"/>
  <c r="F57" i="18"/>
  <c r="F56" i="18"/>
  <c r="F55" i="18"/>
  <c r="F54" i="18"/>
  <c r="F53" i="18"/>
  <c r="F52" i="18"/>
  <c r="F51" i="18"/>
  <c r="D44" i="18" l="1"/>
  <c r="D43" i="18"/>
  <c r="D42" i="18"/>
  <c r="D41" i="18"/>
  <c r="D40" i="18"/>
  <c r="D39" i="18"/>
  <c r="D38" i="18"/>
  <c r="D37" i="18"/>
  <c r="D36" i="18"/>
  <c r="D35" i="18"/>
  <c r="D34" i="18"/>
  <c r="D33" i="18"/>
  <c r="H29" i="18" l="1"/>
  <c r="J29" i="18"/>
  <c r="G44" i="18"/>
  <c r="G43" i="18"/>
  <c r="G42" i="18"/>
  <c r="G41" i="18"/>
  <c r="G40" i="18"/>
  <c r="G39" i="18"/>
  <c r="G38" i="18"/>
  <c r="G37" i="18"/>
  <c r="G36" i="18"/>
  <c r="G35" i="18"/>
  <c r="G34" i="18"/>
  <c r="G33" i="18"/>
  <c r="D29" i="18"/>
  <c r="E29" i="18" l="1"/>
  <c r="F29" i="18" s="1"/>
  <c r="E34" i="18"/>
  <c r="E36" i="18"/>
  <c r="E38" i="18"/>
  <c r="E40" i="18"/>
  <c r="E42" i="18"/>
  <c r="E44" i="18"/>
  <c r="E33" i="18"/>
  <c r="E35" i="18"/>
  <c r="E37" i="18"/>
  <c r="E39" i="18"/>
  <c r="E41" i="18"/>
  <c r="E43" i="18"/>
  <c r="F41" i="18" l="1"/>
  <c r="H74" i="18"/>
  <c r="H58" i="18"/>
  <c r="F37" i="18"/>
  <c r="H70" i="18"/>
  <c r="H54" i="18"/>
  <c r="F33" i="18"/>
  <c r="H66" i="18"/>
  <c r="H50" i="18"/>
  <c r="F42" i="18"/>
  <c r="H59" i="18"/>
  <c r="H75" i="18"/>
  <c r="F38" i="18"/>
  <c r="H55" i="18"/>
  <c r="H71" i="18"/>
  <c r="F34" i="18"/>
  <c r="H51" i="18"/>
  <c r="H67" i="18"/>
  <c r="F43" i="18"/>
  <c r="H76" i="18"/>
  <c r="H60" i="18"/>
  <c r="F39" i="18"/>
  <c r="H72" i="18"/>
  <c r="H56" i="18"/>
  <c r="F35" i="18"/>
  <c r="H68" i="18"/>
  <c r="H52" i="18"/>
  <c r="F44" i="18"/>
  <c r="H61" i="18"/>
  <c r="H77" i="18"/>
  <c r="F40" i="18"/>
  <c r="H57" i="18"/>
  <c r="H73" i="18"/>
  <c r="F36" i="18"/>
  <c r="H53" i="18"/>
  <c r="H69" i="18"/>
  <c r="M60" i="1"/>
  <c r="M59" i="1"/>
  <c r="M58" i="1"/>
  <c r="M57" i="1"/>
  <c r="M56" i="1"/>
  <c r="M55" i="1"/>
  <c r="M54" i="1"/>
  <c r="M53" i="1"/>
  <c r="M52" i="1"/>
  <c r="M51" i="1"/>
  <c r="M50" i="1"/>
  <c r="M49" i="1"/>
  <c r="M48" i="1"/>
  <c r="M47" i="1"/>
  <c r="M46" i="1"/>
  <c r="M78" i="1"/>
  <c r="M77" i="1"/>
  <c r="M76" i="1"/>
  <c r="M75" i="1"/>
  <c r="M74" i="1"/>
  <c r="M73" i="1"/>
  <c r="M72" i="1"/>
  <c r="M71" i="1"/>
  <c r="M70" i="1"/>
  <c r="M69" i="1"/>
  <c r="M68" i="1"/>
  <c r="M67" i="1"/>
  <c r="M66" i="1"/>
  <c r="M65" i="1"/>
  <c r="M64" i="1"/>
  <c r="T16" i="13" l="1"/>
  <c r="T15" i="13"/>
  <c r="T14" i="13"/>
  <c r="T13" i="13"/>
  <c r="T12" i="13"/>
  <c r="T11" i="13"/>
  <c r="T10" i="13"/>
  <c r="T9" i="13"/>
  <c r="T8" i="13"/>
  <c r="T7" i="13"/>
  <c r="T6" i="13"/>
  <c r="T5" i="13"/>
  <c r="S16" i="13"/>
  <c r="S15" i="13"/>
  <c r="S14" i="13"/>
  <c r="S13" i="13"/>
  <c r="S12" i="13"/>
  <c r="S11" i="13"/>
  <c r="S10" i="13"/>
  <c r="S9" i="13"/>
  <c r="S8" i="13"/>
  <c r="S7" i="13"/>
  <c r="S6" i="13"/>
  <c r="S5" i="13"/>
  <c r="R16" i="13"/>
  <c r="R15" i="13"/>
  <c r="R14" i="13"/>
  <c r="R13" i="13"/>
  <c r="R12" i="13"/>
  <c r="R11" i="13"/>
  <c r="R10" i="13"/>
  <c r="R9" i="13"/>
  <c r="R8" i="13"/>
  <c r="R7" i="13"/>
  <c r="R6" i="13"/>
  <c r="R5" i="13"/>
  <c r="Q16" i="13"/>
  <c r="Q15" i="13"/>
  <c r="Q14" i="13"/>
  <c r="Q13" i="13"/>
  <c r="Q12" i="13"/>
  <c r="Q11" i="13"/>
  <c r="Q10" i="13"/>
  <c r="Q9" i="13"/>
  <c r="Q8" i="13"/>
  <c r="Q7" i="13"/>
  <c r="Q6" i="13"/>
  <c r="Q5" i="13"/>
  <c r="N21" i="13"/>
  <c r="N20" i="13"/>
  <c r="G58" i="8" l="1"/>
  <c r="G57" i="8"/>
  <c r="G56" i="8"/>
  <c r="G55" i="8"/>
  <c r="G54" i="8"/>
  <c r="G53" i="8"/>
  <c r="G52" i="8"/>
  <c r="G51" i="8"/>
  <c r="G50" i="8"/>
  <c r="G49" i="8"/>
  <c r="G48" i="8"/>
  <c r="G47" i="8"/>
  <c r="G46" i="8"/>
  <c r="G45" i="8"/>
  <c r="G44" i="8"/>
  <c r="F58" i="8"/>
  <c r="F57" i="8"/>
  <c r="F56" i="8"/>
  <c r="F55" i="8"/>
  <c r="F54" i="8"/>
  <c r="F53" i="8"/>
  <c r="F52" i="8"/>
  <c r="F51" i="8"/>
  <c r="F50" i="8"/>
  <c r="F49" i="8"/>
  <c r="F48" i="8"/>
  <c r="F47" i="8"/>
  <c r="F46" i="8"/>
  <c r="F45" i="8"/>
  <c r="F44" i="8"/>
  <c r="D26" i="8" l="1"/>
  <c r="D25" i="8"/>
  <c r="L97" i="1" l="1"/>
  <c r="K97" i="1"/>
  <c r="L96" i="1"/>
  <c r="K96" i="1"/>
  <c r="L95" i="1"/>
  <c r="K95" i="1"/>
  <c r="L94" i="1"/>
  <c r="K94" i="1"/>
  <c r="L93" i="1"/>
  <c r="K93" i="1"/>
  <c r="L92" i="1"/>
  <c r="K92" i="1"/>
  <c r="L91" i="1"/>
  <c r="K91" i="1"/>
  <c r="L90" i="1"/>
  <c r="K90" i="1"/>
  <c r="L89" i="1"/>
  <c r="K89" i="1"/>
  <c r="L88" i="1"/>
  <c r="K88" i="1"/>
  <c r="L87" i="1"/>
  <c r="K87" i="1"/>
  <c r="L86" i="1"/>
  <c r="K86" i="1"/>
  <c r="L85" i="1"/>
  <c r="K85" i="1"/>
  <c r="C50" i="1"/>
  <c r="D62" i="1" l="1"/>
  <c r="C62" i="1"/>
  <c r="D61" i="1"/>
  <c r="C61" i="1"/>
  <c r="D60" i="1"/>
  <c r="C60" i="1"/>
  <c r="D59" i="1"/>
  <c r="C59" i="1"/>
  <c r="D58" i="1"/>
  <c r="C58" i="1"/>
  <c r="D57" i="1"/>
  <c r="C57" i="1"/>
  <c r="D56" i="1"/>
  <c r="C56" i="1"/>
  <c r="D55" i="1"/>
  <c r="C55" i="1"/>
  <c r="D54" i="1"/>
  <c r="C54" i="1"/>
  <c r="D53" i="1"/>
  <c r="C53" i="1"/>
  <c r="D52" i="1"/>
  <c r="C52" i="1"/>
  <c r="D51" i="1"/>
  <c r="C51" i="1"/>
  <c r="D50" i="1"/>
  <c r="M16" i="13" l="1"/>
  <c r="N16" i="13" s="1"/>
  <c r="M15" i="13"/>
  <c r="N15" i="13" s="1"/>
  <c r="M14" i="13"/>
  <c r="N14" i="13" s="1"/>
  <c r="M13" i="13"/>
  <c r="N13" i="13" s="1"/>
  <c r="M12" i="13"/>
  <c r="N12" i="13" s="1"/>
  <c r="M11" i="13"/>
  <c r="N11" i="13" s="1"/>
  <c r="M10" i="13"/>
  <c r="N10" i="13" s="1"/>
  <c r="M9" i="13"/>
  <c r="N9" i="13" s="1"/>
  <c r="M8" i="13"/>
  <c r="N8" i="13" s="1"/>
  <c r="M7" i="13"/>
  <c r="N7" i="13" s="1"/>
  <c r="M6" i="13"/>
  <c r="N6" i="13" s="1"/>
  <c r="M5" i="13"/>
  <c r="N5" i="13" s="1"/>
  <c r="K63" i="3"/>
  <c r="K62" i="3"/>
  <c r="K61" i="3"/>
  <c r="K60" i="3"/>
  <c r="K59" i="3"/>
  <c r="K58" i="3"/>
  <c r="K57" i="3"/>
  <c r="K56" i="3"/>
  <c r="K55" i="3"/>
  <c r="K54" i="3"/>
  <c r="K53" i="3"/>
  <c r="K52" i="3"/>
  <c r="K51" i="3"/>
  <c r="J63" i="3"/>
  <c r="J62" i="3"/>
  <c r="J61" i="3"/>
  <c r="J60" i="3"/>
  <c r="J59" i="3"/>
  <c r="J58" i="3"/>
  <c r="J57" i="3"/>
  <c r="J56" i="3"/>
  <c r="J55" i="3"/>
  <c r="J54" i="3"/>
  <c r="J53" i="3"/>
  <c r="J52" i="3"/>
  <c r="J51" i="3"/>
  <c r="V5" i="13" l="1"/>
  <c r="V7" i="13"/>
  <c r="V9" i="13"/>
  <c r="V11" i="13"/>
  <c r="V13" i="13"/>
  <c r="V15" i="13"/>
  <c r="V6" i="13"/>
  <c r="V8" i="13"/>
  <c r="V10" i="13"/>
  <c r="V12" i="13"/>
  <c r="V14" i="13"/>
  <c r="V16" i="13"/>
  <c r="F63" i="3" l="1"/>
  <c r="F62" i="3"/>
  <c r="F61" i="3"/>
  <c r="F60" i="3"/>
  <c r="F59" i="3"/>
  <c r="F58" i="3"/>
  <c r="F57" i="3"/>
  <c r="F56" i="3"/>
  <c r="F55" i="3"/>
  <c r="F54" i="3"/>
  <c r="F53" i="3"/>
  <c r="F52" i="3"/>
  <c r="F51" i="3"/>
  <c r="E63" i="3"/>
  <c r="E62" i="3"/>
  <c r="E61" i="3"/>
  <c r="E60" i="3"/>
  <c r="E59" i="3"/>
  <c r="E58" i="3"/>
  <c r="E57" i="3"/>
  <c r="E56" i="3"/>
  <c r="E55" i="3"/>
  <c r="E54" i="3"/>
  <c r="E53" i="3"/>
  <c r="E52" i="3"/>
  <c r="E51" i="3"/>
  <c r="I87" i="3"/>
  <c r="I67" i="3"/>
  <c r="I70" i="3"/>
  <c r="I69" i="3"/>
  <c r="I48" i="3"/>
  <c r="I47" i="3"/>
  <c r="H51" i="3"/>
  <c r="Z19" i="3"/>
  <c r="Z31" i="3"/>
  <c r="Z30" i="3"/>
  <c r="Z29" i="3"/>
  <c r="Z28" i="3"/>
  <c r="Z27" i="3"/>
  <c r="Z26" i="3"/>
  <c r="Z25" i="3"/>
  <c r="Z24" i="3"/>
  <c r="Z23" i="3"/>
  <c r="Z22" i="3"/>
  <c r="Z21" i="3"/>
  <c r="Z20" i="3"/>
  <c r="Z18" i="3"/>
  <c r="AA18" i="3"/>
  <c r="Z17" i="3"/>
  <c r="AA17" i="3"/>
  <c r="Z16" i="3"/>
  <c r="AA16" i="3"/>
  <c r="Z15" i="3"/>
  <c r="AA15" i="3"/>
  <c r="Z14" i="3"/>
  <c r="AA14" i="3"/>
  <c r="Z13" i="3"/>
  <c r="AA13" i="3"/>
  <c r="Z12" i="3"/>
  <c r="AA12" i="3"/>
  <c r="Z11" i="3"/>
  <c r="AA11" i="3"/>
  <c r="Z10" i="3"/>
  <c r="AA10" i="3"/>
  <c r="Z9" i="3"/>
  <c r="AA9" i="3"/>
  <c r="Z8" i="3"/>
  <c r="AA8" i="3"/>
  <c r="Z7" i="3"/>
  <c r="AA7" i="3"/>
  <c r="AA31" i="3"/>
  <c r="AA30" i="3"/>
  <c r="AA29" i="3"/>
  <c r="AA28" i="3"/>
  <c r="AA27" i="3"/>
  <c r="AA26" i="3"/>
  <c r="AA25" i="3"/>
  <c r="AA24" i="3"/>
  <c r="AA23" i="3"/>
  <c r="AA22" i="3"/>
  <c r="AA21" i="3"/>
  <c r="AA20" i="3"/>
  <c r="AA19" i="3"/>
  <c r="Z6" i="3"/>
  <c r="AA6" i="3"/>
  <c r="Y18" i="3"/>
  <c r="Y17" i="3"/>
  <c r="Y16" i="3"/>
  <c r="Y15" i="3"/>
  <c r="Y14" i="3"/>
  <c r="Y13" i="3"/>
  <c r="Y12" i="3"/>
  <c r="Y11" i="3"/>
  <c r="Y10" i="3"/>
  <c r="Y9" i="3"/>
  <c r="Y8" i="3"/>
  <c r="Y7" i="3"/>
  <c r="Y6" i="3"/>
  <c r="N48" i="3" l="1"/>
  <c r="N47" i="3"/>
  <c r="N25" i="3"/>
  <c r="N24" i="3"/>
  <c r="AC28" i="1" l="1"/>
  <c r="Y20" i="7" l="1"/>
  <c r="S20" i="7"/>
  <c r="L20" i="7"/>
  <c r="K20" i="7"/>
  <c r="N20" i="7" s="1"/>
  <c r="Y19" i="7"/>
  <c r="S19" i="7"/>
  <c r="L19" i="7"/>
  <c r="K19" i="7"/>
  <c r="N19" i="7" s="1"/>
  <c r="Y18" i="7"/>
  <c r="S18" i="7"/>
  <c r="L18" i="7"/>
  <c r="K18" i="7"/>
  <c r="N18" i="7" s="1"/>
  <c r="Y17" i="7"/>
  <c r="S17" i="7"/>
  <c r="L17" i="7"/>
  <c r="K17" i="7"/>
  <c r="N17" i="7" s="1"/>
  <c r="Y16" i="7"/>
  <c r="S16" i="7"/>
  <c r="L16" i="7"/>
  <c r="K16" i="7"/>
  <c r="N16" i="7" s="1"/>
  <c r="Y15" i="7"/>
  <c r="S15" i="7"/>
  <c r="L15" i="7"/>
  <c r="K15" i="7"/>
  <c r="N15" i="7" s="1"/>
  <c r="Y14" i="7"/>
  <c r="S14" i="7"/>
  <c r="L14" i="7"/>
  <c r="K14" i="7"/>
  <c r="N14" i="7" s="1"/>
  <c r="Y13" i="7"/>
  <c r="S13" i="7"/>
  <c r="L13" i="7"/>
  <c r="K13" i="7"/>
  <c r="N13" i="7" s="1"/>
  <c r="Y12" i="7"/>
  <c r="S12" i="7"/>
  <c r="L12" i="7"/>
  <c r="K12" i="7"/>
  <c r="N12" i="7" s="1"/>
  <c r="Y11" i="7"/>
  <c r="S11" i="7"/>
  <c r="N11" i="7"/>
  <c r="L11" i="7"/>
  <c r="K11" i="7"/>
  <c r="M11" i="7" s="1"/>
  <c r="Y10" i="7"/>
  <c r="S10" i="7"/>
  <c r="L10" i="7"/>
  <c r="K10" i="7"/>
  <c r="N10" i="7" s="1"/>
  <c r="Y9" i="7"/>
  <c r="S9" i="7"/>
  <c r="L9" i="7"/>
  <c r="K9" i="7"/>
  <c r="N9" i="7" s="1"/>
  <c r="Y8" i="7"/>
  <c r="S8" i="7"/>
  <c r="L8" i="7"/>
  <c r="K8" i="7"/>
  <c r="N8" i="7" s="1"/>
  <c r="Y7" i="7"/>
  <c r="S7" i="7"/>
  <c r="N7" i="7"/>
  <c r="L7" i="7"/>
  <c r="K7" i="7"/>
  <c r="M7" i="7" s="1"/>
  <c r="S6" i="7"/>
  <c r="Y6" i="7"/>
  <c r="L6" i="7"/>
  <c r="K6" i="7"/>
  <c r="M20" i="7" l="1"/>
  <c r="W20" i="7"/>
  <c r="M19" i="7"/>
  <c r="W19" i="7"/>
  <c r="Q18" i="7"/>
  <c r="M18" i="7"/>
  <c r="W18" i="7"/>
  <c r="M17" i="7"/>
  <c r="W17" i="7"/>
  <c r="M16" i="7"/>
  <c r="W16" i="7"/>
  <c r="M15" i="7"/>
  <c r="W15" i="7"/>
  <c r="M14" i="7"/>
  <c r="W14" i="7"/>
  <c r="Q13" i="7"/>
  <c r="M13" i="7"/>
  <c r="W13" i="7"/>
  <c r="M12" i="7"/>
  <c r="W12" i="7"/>
  <c r="W11" i="7"/>
  <c r="P11" i="7"/>
  <c r="V11" i="7"/>
  <c r="I11" i="7" s="1"/>
  <c r="Q11" i="7"/>
  <c r="M10" i="7"/>
  <c r="W10" i="7"/>
  <c r="M9" i="7"/>
  <c r="W9" i="7"/>
  <c r="M8" i="7"/>
  <c r="W8" i="7"/>
  <c r="W7" i="7"/>
  <c r="P7" i="7"/>
  <c r="V7" i="7"/>
  <c r="I7" i="7" s="1"/>
  <c r="Q7" i="7"/>
  <c r="M6" i="7"/>
  <c r="V6" i="7" s="1"/>
  <c r="N6" i="7"/>
  <c r="W6" i="7" s="1"/>
  <c r="V20" i="7" l="1"/>
  <c r="I20" i="7" s="1"/>
  <c r="P20" i="7"/>
  <c r="Q20" i="7"/>
  <c r="V19" i="7"/>
  <c r="I19" i="7" s="1"/>
  <c r="P19" i="7"/>
  <c r="Q19" i="7"/>
  <c r="V18" i="7"/>
  <c r="I18" i="7" s="1"/>
  <c r="P18" i="7"/>
  <c r="H18" i="7" s="1"/>
  <c r="V17" i="7"/>
  <c r="I17" i="7" s="1"/>
  <c r="P17" i="7"/>
  <c r="Q17" i="7"/>
  <c r="V16" i="7"/>
  <c r="I16" i="7" s="1"/>
  <c r="P16" i="7"/>
  <c r="Q16" i="7"/>
  <c r="V15" i="7"/>
  <c r="I15" i="7" s="1"/>
  <c r="P15" i="7"/>
  <c r="Q15" i="7"/>
  <c r="V14" i="7"/>
  <c r="I14" i="7" s="1"/>
  <c r="P14" i="7"/>
  <c r="Q14" i="7"/>
  <c r="V13" i="7"/>
  <c r="I13" i="7" s="1"/>
  <c r="P13" i="7"/>
  <c r="H13" i="7" s="1"/>
  <c r="V12" i="7"/>
  <c r="I12" i="7" s="1"/>
  <c r="P12" i="7"/>
  <c r="Q12" i="7"/>
  <c r="H11" i="7"/>
  <c r="V10" i="7"/>
  <c r="I10" i="7" s="1"/>
  <c r="P10" i="7"/>
  <c r="Q10" i="7"/>
  <c r="V9" i="7"/>
  <c r="I9" i="7" s="1"/>
  <c r="P9" i="7"/>
  <c r="Q9" i="7"/>
  <c r="V8" i="7"/>
  <c r="I8" i="7" s="1"/>
  <c r="P8" i="7"/>
  <c r="Q8" i="7"/>
  <c r="H7" i="7"/>
  <c r="I6" i="7"/>
  <c r="Q6" i="7"/>
  <c r="H20" i="7" l="1"/>
  <c r="H19" i="7"/>
  <c r="H17" i="7"/>
  <c r="H16" i="7"/>
  <c r="H15" i="7"/>
  <c r="H14" i="7"/>
  <c r="H12" i="7"/>
  <c r="H10" i="7"/>
  <c r="H9" i="7"/>
  <c r="H8" i="7"/>
  <c r="P6" i="7"/>
  <c r="H6" i="7" s="1"/>
  <c r="D41" i="3" l="1"/>
  <c r="H41" i="3" l="1"/>
  <c r="J41" i="3" s="1"/>
  <c r="K41" i="3" l="1"/>
  <c r="E41" i="3"/>
  <c r="H87" i="3" l="1"/>
  <c r="H67" i="3" l="1"/>
  <c r="E40" i="3" l="1"/>
  <c r="E39" i="3"/>
  <c r="E38" i="3"/>
  <c r="E37" i="3"/>
  <c r="E36" i="3"/>
  <c r="E35" i="3"/>
  <c r="E34" i="3"/>
  <c r="E33" i="3"/>
  <c r="E32" i="3"/>
  <c r="E31" i="3"/>
  <c r="E30" i="3"/>
  <c r="E29" i="3"/>
  <c r="E28" i="3"/>
  <c r="K40" i="3"/>
  <c r="K39" i="3"/>
  <c r="K38" i="3"/>
  <c r="K37" i="3"/>
  <c r="K36" i="3"/>
  <c r="K35" i="3"/>
  <c r="K34" i="3"/>
  <c r="K33" i="3"/>
  <c r="K32" i="3"/>
  <c r="K31" i="3"/>
  <c r="K30" i="3"/>
  <c r="K29" i="3"/>
  <c r="K28" i="3"/>
  <c r="J18" i="3"/>
  <c r="J17" i="3"/>
  <c r="J16" i="3"/>
  <c r="J15" i="3"/>
  <c r="J14" i="3"/>
  <c r="J13" i="3"/>
  <c r="J12" i="3"/>
  <c r="J11" i="3"/>
  <c r="J10" i="3"/>
  <c r="J9" i="3"/>
  <c r="J8" i="3"/>
  <c r="J7" i="3"/>
  <c r="J6" i="3"/>
  <c r="H40" i="3"/>
  <c r="J40" i="3" s="1"/>
  <c r="H39" i="3"/>
  <c r="J39" i="3" s="1"/>
  <c r="H38" i="3"/>
  <c r="J38" i="3" s="1"/>
  <c r="H37" i="3"/>
  <c r="J37" i="3" s="1"/>
  <c r="H36" i="3"/>
  <c r="J36" i="3" s="1"/>
  <c r="H35" i="3"/>
  <c r="J35" i="3" s="1"/>
  <c r="H34" i="3"/>
  <c r="J34" i="3" s="1"/>
  <c r="H33" i="3"/>
  <c r="J33" i="3" s="1"/>
  <c r="H32" i="3"/>
  <c r="J32" i="3" s="1"/>
  <c r="H31" i="3"/>
  <c r="J31" i="3" s="1"/>
  <c r="H30" i="3"/>
  <c r="J30" i="3" s="1"/>
  <c r="H29" i="3"/>
  <c r="J29" i="3" s="1"/>
  <c r="H28" i="3"/>
  <c r="J28" i="3" s="1"/>
  <c r="H18" i="3" l="1"/>
  <c r="H17" i="3"/>
  <c r="H16" i="3"/>
  <c r="H15" i="3"/>
  <c r="H14" i="3"/>
  <c r="H13" i="3"/>
  <c r="H12" i="3"/>
  <c r="H11" i="3"/>
  <c r="H10" i="3"/>
  <c r="H9" i="3"/>
  <c r="H8" i="3"/>
  <c r="H7" i="3"/>
  <c r="H6" i="3"/>
  <c r="C20" i="1" l="1"/>
  <c r="I39" i="1" l="1"/>
  <c r="I38" i="1"/>
  <c r="I37" i="1"/>
  <c r="I36" i="1"/>
  <c r="I35" i="1"/>
  <c r="I34" i="1"/>
  <c r="I33" i="1"/>
  <c r="I32" i="1"/>
  <c r="I31" i="1"/>
  <c r="I30" i="1"/>
  <c r="I29" i="1"/>
  <c r="I28" i="1"/>
  <c r="I27" i="1"/>
  <c r="I26" i="1"/>
  <c r="I25" i="1"/>
  <c r="G39" i="1"/>
  <c r="H39" i="1" s="1"/>
  <c r="G38" i="1"/>
  <c r="H38" i="1" s="1"/>
  <c r="G37" i="1"/>
  <c r="H37" i="1" s="1"/>
  <c r="G36" i="1"/>
  <c r="H36" i="1" s="1"/>
  <c r="G35" i="1"/>
  <c r="H35" i="1" s="1"/>
  <c r="G34" i="1"/>
  <c r="H34" i="1" s="1"/>
  <c r="G33" i="1"/>
  <c r="H33" i="1" s="1"/>
  <c r="G32" i="1"/>
  <c r="H32" i="1" s="1"/>
  <c r="G31" i="1"/>
  <c r="H31" i="1" s="1"/>
  <c r="G30" i="1"/>
  <c r="H30" i="1" s="1"/>
  <c r="G29" i="1"/>
  <c r="H29" i="1" s="1"/>
  <c r="G28" i="1"/>
  <c r="H28" i="1" s="1"/>
  <c r="G27" i="1"/>
  <c r="H27" i="1" s="1"/>
  <c r="G26" i="1"/>
  <c r="H26" i="1" s="1"/>
  <c r="G25" i="1"/>
  <c r="H25" i="1" s="1"/>
  <c r="G20" i="1"/>
  <c r="H20" i="1" s="1"/>
  <c r="I20" i="1" s="1"/>
  <c r="K20" i="1" s="1"/>
  <c r="K26" i="1" l="1"/>
  <c r="M26" i="1" s="1"/>
  <c r="L26" i="1"/>
  <c r="K28" i="1"/>
  <c r="M28" i="1" s="1"/>
  <c r="L28" i="1"/>
  <c r="K30" i="1"/>
  <c r="M30" i="1" s="1"/>
  <c r="L30" i="1"/>
  <c r="K32" i="1"/>
  <c r="M32" i="1" s="1"/>
  <c r="L32" i="1"/>
  <c r="K34" i="1"/>
  <c r="M34" i="1" s="1"/>
  <c r="L34" i="1"/>
  <c r="K36" i="1"/>
  <c r="M36" i="1" s="1"/>
  <c r="L36" i="1"/>
  <c r="K38" i="1"/>
  <c r="M38" i="1" s="1"/>
  <c r="L38" i="1"/>
  <c r="L25" i="1"/>
  <c r="K25" i="1"/>
  <c r="M25" i="1" s="1"/>
  <c r="L27" i="1"/>
  <c r="K27" i="1"/>
  <c r="M27" i="1" s="1"/>
  <c r="L29" i="1"/>
  <c r="K29" i="1"/>
  <c r="M29" i="1" s="1"/>
  <c r="L31" i="1"/>
  <c r="K31" i="1"/>
  <c r="M31" i="1" s="1"/>
  <c r="L33" i="1"/>
  <c r="K33" i="1"/>
  <c r="M33" i="1" s="1"/>
  <c r="L35" i="1"/>
  <c r="K35" i="1"/>
  <c r="M35" i="1" s="1"/>
  <c r="L37" i="1"/>
  <c r="K37" i="1"/>
  <c r="M37" i="1" s="1"/>
  <c r="L39" i="1"/>
  <c r="K39" i="1"/>
  <c r="M39" i="1" s="1"/>
  <c r="Q39" i="1" l="1"/>
  <c r="P39" i="1"/>
  <c r="Q37" i="1"/>
  <c r="P37" i="1"/>
  <c r="Q35" i="1"/>
  <c r="P35" i="1"/>
  <c r="Q33" i="1"/>
  <c r="P33" i="1"/>
  <c r="Q31" i="1"/>
  <c r="P31" i="1"/>
  <c r="Q29" i="1"/>
  <c r="P29" i="1"/>
  <c r="Q27" i="1"/>
  <c r="P27" i="1"/>
  <c r="P25" i="1"/>
  <c r="Q25" i="1"/>
  <c r="O38" i="1"/>
  <c r="N38" i="1"/>
  <c r="O36" i="1"/>
  <c r="N36" i="1"/>
  <c r="O34" i="1"/>
  <c r="N34" i="1"/>
  <c r="O32" i="1"/>
  <c r="N32" i="1"/>
  <c r="O30" i="1"/>
  <c r="N30" i="1"/>
  <c r="N28" i="1"/>
  <c r="O28" i="1"/>
  <c r="O26" i="1"/>
  <c r="N26" i="1"/>
  <c r="O39" i="1"/>
  <c r="N39" i="1"/>
  <c r="O37" i="1"/>
  <c r="N37" i="1"/>
  <c r="O35" i="1"/>
  <c r="N35" i="1"/>
  <c r="O33" i="1"/>
  <c r="N33" i="1"/>
  <c r="O31" i="1"/>
  <c r="N31" i="1"/>
  <c r="O29" i="1"/>
  <c r="N29" i="1"/>
  <c r="N27" i="1"/>
  <c r="O27" i="1"/>
  <c r="N25" i="1"/>
  <c r="O25" i="1"/>
  <c r="P38" i="1"/>
  <c r="Q38" i="1"/>
  <c r="P36" i="1"/>
  <c r="Q36" i="1"/>
  <c r="P34" i="1"/>
  <c r="Q34" i="1"/>
  <c r="P32" i="1"/>
  <c r="Q32" i="1"/>
  <c r="P30" i="1"/>
  <c r="Q30" i="1"/>
  <c r="P28" i="1"/>
  <c r="Q28" i="1"/>
  <c r="P26" i="1"/>
  <c r="Q26" i="1"/>
  <c r="K48" i="1"/>
  <c r="K46" i="1"/>
  <c r="L59" i="1"/>
  <c r="L57" i="1"/>
  <c r="L55" i="1"/>
  <c r="D15" i="3" s="1"/>
  <c r="L53" i="1"/>
  <c r="L71" i="1" s="1"/>
  <c r="L51" i="1"/>
  <c r="D11" i="3" s="1"/>
  <c r="L49" i="1"/>
  <c r="L67" i="1" s="1"/>
  <c r="L47" i="1"/>
  <c r="D7" i="3" s="1"/>
  <c r="K60" i="1"/>
  <c r="S60" i="1" s="1"/>
  <c r="K58" i="1"/>
  <c r="K76" i="1" s="1"/>
  <c r="K56" i="1"/>
  <c r="C16" i="3" s="1"/>
  <c r="K54" i="1"/>
  <c r="K72" i="1" s="1"/>
  <c r="K52" i="1"/>
  <c r="C12" i="3" s="1"/>
  <c r="K50" i="1"/>
  <c r="K68" i="1" s="1"/>
  <c r="L60" i="1"/>
  <c r="S79" i="1" s="1"/>
  <c r="L58" i="1"/>
  <c r="L76" i="1" s="1"/>
  <c r="L56" i="1"/>
  <c r="D16" i="3" s="1"/>
  <c r="L54" i="1"/>
  <c r="L72" i="1" s="1"/>
  <c r="L52" i="1"/>
  <c r="D12" i="3" s="1"/>
  <c r="L50" i="1"/>
  <c r="L68" i="1" s="1"/>
  <c r="L48" i="1"/>
  <c r="D8" i="3" s="1"/>
  <c r="L46" i="1"/>
  <c r="S65" i="1" s="1"/>
  <c r="K59" i="1"/>
  <c r="C21" i="3" s="1"/>
  <c r="K57" i="1"/>
  <c r="K75" i="1" s="1"/>
  <c r="K55" i="1"/>
  <c r="C15" i="3" s="1"/>
  <c r="K53" i="1"/>
  <c r="K71" i="1" s="1"/>
  <c r="K51" i="1"/>
  <c r="C11" i="3" s="1"/>
  <c r="K49" i="1"/>
  <c r="K67" i="1" s="1"/>
  <c r="K47" i="1"/>
  <c r="C7" i="3" s="1"/>
  <c r="K78" i="1"/>
  <c r="C14" i="3"/>
  <c r="S50" i="1"/>
  <c r="C8" i="3"/>
  <c r="K66" i="1"/>
  <c r="S48" i="1"/>
  <c r="S46" i="1"/>
  <c r="C6" i="3"/>
  <c r="K64" i="1"/>
  <c r="C22" i="3" s="1"/>
  <c r="D21" i="3"/>
  <c r="L77" i="1"/>
  <c r="S78" i="1"/>
  <c r="D17" i="3"/>
  <c r="L75" i="1"/>
  <c r="S76" i="1"/>
  <c r="L73" i="1"/>
  <c r="D13" i="3"/>
  <c r="L69" i="1"/>
  <c r="L78" i="1"/>
  <c r="D14" i="3"/>
  <c r="S69" i="1"/>
  <c r="K77" i="1"/>
  <c r="C13" i="3"/>
  <c r="S49" i="1"/>
  <c r="K69" i="1" l="1"/>
  <c r="S57" i="1"/>
  <c r="D6" i="3"/>
  <c r="L70" i="1"/>
  <c r="S77" i="1"/>
  <c r="S68" i="1"/>
  <c r="S72" i="1"/>
  <c r="S74" i="1"/>
  <c r="K70" i="1"/>
  <c r="S58" i="1"/>
  <c r="K65" i="1"/>
  <c r="C9" i="3"/>
  <c r="H76" i="3" s="1"/>
  <c r="I76" i="3" s="1"/>
  <c r="S53" i="1"/>
  <c r="K73" i="1"/>
  <c r="C17" i="3"/>
  <c r="L64" i="1"/>
  <c r="D22" i="3" s="1"/>
  <c r="L66" i="1"/>
  <c r="D10" i="3"/>
  <c r="I10" i="3" s="1"/>
  <c r="S73" i="1"/>
  <c r="L74" i="1"/>
  <c r="D18" i="3"/>
  <c r="L65" i="1"/>
  <c r="D9" i="3"/>
  <c r="C10" i="3"/>
  <c r="H77" i="3" s="1"/>
  <c r="I77" i="3" s="1"/>
  <c r="S54" i="1"/>
  <c r="K74" i="1"/>
  <c r="C18" i="3"/>
  <c r="H78" i="3"/>
  <c r="I78" i="3" s="1"/>
  <c r="H56" i="3"/>
  <c r="H83" i="3"/>
  <c r="I83" i="3" s="1"/>
  <c r="H61" i="3"/>
  <c r="H74" i="3"/>
  <c r="I74" i="3" s="1"/>
  <c r="H52" i="3"/>
  <c r="H82" i="3"/>
  <c r="I82" i="3" s="1"/>
  <c r="H60" i="3"/>
  <c r="H79" i="3"/>
  <c r="I79" i="3" s="1"/>
  <c r="H57" i="3"/>
  <c r="S47" i="1"/>
  <c r="S51" i="1"/>
  <c r="S55" i="1"/>
  <c r="S59" i="1"/>
  <c r="S67" i="1"/>
  <c r="S71" i="1"/>
  <c r="S75" i="1"/>
  <c r="S66" i="1"/>
  <c r="S70" i="1"/>
  <c r="H73" i="3"/>
  <c r="I73" i="3" s="1"/>
  <c r="H75" i="3"/>
  <c r="I75" i="3" s="1"/>
  <c r="H53" i="3"/>
  <c r="S52" i="1"/>
  <c r="S56" i="1"/>
  <c r="H80" i="3"/>
  <c r="I80" i="3" s="1"/>
  <c r="H58" i="3"/>
  <c r="H84" i="3"/>
  <c r="I84" i="3" s="1"/>
  <c r="H62" i="3"/>
  <c r="H55" i="3"/>
  <c r="H81" i="3"/>
  <c r="I81" i="3" s="1"/>
  <c r="H59" i="3"/>
  <c r="H85" i="3"/>
  <c r="I85" i="3" s="1"/>
  <c r="H63" i="3"/>
  <c r="I63" i="3" s="1"/>
  <c r="I8" i="3"/>
  <c r="I30" i="3"/>
  <c r="I12" i="3"/>
  <c r="I34" i="3"/>
  <c r="I16" i="3"/>
  <c r="I38" i="3"/>
  <c r="I7" i="3"/>
  <c r="I29" i="3"/>
  <c r="I11" i="3"/>
  <c r="I33" i="3"/>
  <c r="I15" i="3"/>
  <c r="I37" i="3"/>
  <c r="I6" i="3"/>
  <c r="I28" i="3"/>
  <c r="I14" i="3"/>
  <c r="I36" i="3"/>
  <c r="I18" i="3"/>
  <c r="I40" i="3"/>
  <c r="I9" i="3"/>
  <c r="I31" i="3"/>
  <c r="I13" i="3"/>
  <c r="I35" i="3"/>
  <c r="I17" i="3"/>
  <c r="I39" i="3"/>
  <c r="I32" i="3" l="1"/>
  <c r="H54" i="3"/>
  <c r="I59" i="3"/>
  <c r="I54" i="3" l="1"/>
  <c r="I62" i="3"/>
  <c r="I57" i="3"/>
  <c r="I52" i="3"/>
  <c r="I60" i="3"/>
  <c r="I55" i="3"/>
  <c r="I58" i="3"/>
  <c r="I53" i="3"/>
  <c r="I61" i="3"/>
  <c r="I56" i="3"/>
  <c r="I51" i="3"/>
</calcChain>
</file>

<file path=xl/sharedStrings.xml><?xml version="1.0" encoding="utf-8"?>
<sst xmlns="http://schemas.openxmlformats.org/spreadsheetml/2006/main" count="792" uniqueCount="445">
  <si>
    <t>Inverse Hyperbolic Tangent</t>
  </si>
  <si>
    <t>e2x</t>
  </si>
  <si>
    <t>It works!</t>
  </si>
  <si>
    <t>13.99-3.73j</t>
  </si>
  <si>
    <t>0.42+0.16j</t>
  </si>
  <si>
    <t>13.3-1.95j</t>
  </si>
  <si>
    <t>0.48+0.46j</t>
  </si>
  <si>
    <t>13.18-1.4j</t>
  </si>
  <si>
    <t>0.57+0.64j</t>
  </si>
  <si>
    <t>13.02-1.28j</t>
  </si>
  <si>
    <t>0.63+0.79j</t>
  </si>
  <si>
    <t>12.98-0.8j</t>
  </si>
  <si>
    <t>0.7+0.96j</t>
  </si>
  <si>
    <t>12.89-1.2j</t>
  </si>
  <si>
    <t>0.73+1.13j</t>
  </si>
  <si>
    <t>12.82-0.87j</t>
  </si>
  <si>
    <t>0.82+1.25j</t>
  </si>
  <si>
    <t>12.7-0.9j</t>
  </si>
  <si>
    <t>0.87+1.4j</t>
  </si>
  <si>
    <t>12.61-1.09j</t>
  </si>
  <si>
    <t>0.95+1.65j</t>
  </si>
  <si>
    <t>12.54-0.39j</t>
  </si>
  <si>
    <t>0.96+1.81j</t>
  </si>
  <si>
    <t>12.27-0.15j</t>
  </si>
  <si>
    <t>1.07+1.93j</t>
  </si>
  <si>
    <t>11.91+0.7j</t>
  </si>
  <si>
    <t>1.43+2.91j</t>
  </si>
  <si>
    <t>11.83+1.61j</t>
  </si>
  <si>
    <t>2.25+5.36j</t>
  </si>
  <si>
    <t>12.01+0.46j</t>
  </si>
  <si>
    <t>6.8+11.54j</t>
  </si>
  <si>
    <t>11.99+7.79j</t>
  </si>
  <si>
    <t>11.31+14.38j</t>
  </si>
  <si>
    <t>Freq</t>
  </si>
  <si>
    <t xml:space="preserve"> Z-Open</t>
  </si>
  <si>
    <t>Z-Shorted</t>
  </si>
  <si>
    <t>B</t>
  </si>
  <si>
    <t>Z</t>
  </si>
  <si>
    <t>Z-hat</t>
  </si>
  <si>
    <t>B-hat</t>
  </si>
  <si>
    <t>L=</t>
  </si>
  <si>
    <t>feet</t>
  </si>
  <si>
    <t>ABS(B)</t>
  </si>
  <si>
    <t>ABS(Z)</t>
  </si>
  <si>
    <t xml:space="preserve">  - - - - - -  Intermediate Calculations - - - - - - -</t>
  </si>
  <si>
    <t xml:space="preserve">  - - - -  B and Z in Ohms k-ft - - - - -</t>
  </si>
  <si>
    <t>meters</t>
  </si>
  <si>
    <t xml:space="preserve">  -or -</t>
  </si>
  <si>
    <t xml:space="preserve">  - - - -  B and Z in Ohms for the Raw 540 Meter section</t>
  </si>
  <si>
    <t xml:space="preserve">  - - - -  B and Z in Ohms km - - - - -</t>
  </si>
  <si>
    <t>RAIL</t>
  </si>
  <si>
    <t>BALLAST</t>
  </si>
  <si>
    <t>Freq (Hz)</t>
  </si>
  <si>
    <t>f (Hz)</t>
  </si>
  <si>
    <t>Sqr(f)</t>
  </si>
  <si>
    <t>Z-Real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</si>
  <si>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</si>
  <si>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</si>
  <si>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</si>
  <si>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</si>
  <si>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</si>
  <si>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</si>
  <si>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</si>
  <si>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</si>
  <si>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</si>
  <si>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</si>
  <si>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</si>
  <si>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</si>
  <si>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</si>
  <si>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</si>
  <si>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</si>
  <si>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</si>
  <si>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</si>
  <si>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</si>
  <si>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</si>
  <si>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</si>
  <si>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</si>
  <si>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</si>
  <si>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</si>
  <si>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</si>
  <si>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</si>
  <si>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</si>
  <si>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Removed entries:</t>
  </si>
  <si>
    <t>Z-Imag</t>
  </si>
  <si>
    <t>Z-Pred-Imag</t>
  </si>
  <si>
    <t>Z-Pred-Real</t>
  </si>
  <si>
    <t>was negative</t>
  </si>
  <si>
    <t>So reran the regression without linear term</t>
  </si>
  <si>
    <t>X Variable SQR</t>
  </si>
  <si>
    <t>The Real Part is strictly driven by SQR(f)</t>
  </si>
  <si>
    <t>Loop %</t>
  </si>
  <si>
    <t>the inductance (imaginary) term</t>
  </si>
  <si>
    <t xml:space="preserve">AND by 75 Hz the inductive component is dominating the </t>
  </si>
  <si>
    <t>total rail impedance</t>
  </si>
  <si>
    <r>
      <t>X</t>
    </r>
    <r>
      <rPr>
        <b/>
        <vertAlign val="subscript"/>
        <sz val="9"/>
        <color rgb="FF333333"/>
        <rFont val="MathJax_Math-italic"/>
      </rPr>
      <t>L</t>
    </r>
    <r>
      <rPr>
        <b/>
        <sz val="13"/>
        <color rgb="FF333333"/>
        <rFont val="MathJax_Main"/>
      </rPr>
      <t>=2</t>
    </r>
    <r>
      <rPr>
        <b/>
        <sz val="13"/>
        <color rgb="FF333333"/>
        <rFont val="MathJax_Math-italic"/>
      </rPr>
      <t>πf L</t>
    </r>
  </si>
  <si>
    <t>L (Henries)</t>
  </si>
  <si>
    <t>Table 5 for comparison purpose.</t>
  </si>
  <si>
    <t>Abs(B)</t>
  </si>
  <si>
    <t>Trnsf(B)</t>
  </si>
  <si>
    <t>R1</t>
  </si>
  <si>
    <t>R2</t>
  </si>
  <si>
    <t>result=</t>
  </si>
  <si>
    <t>µF</t>
  </si>
  <si>
    <t>         ZB (Ω)  </t>
  </si>
  <si>
    <t>         ZR (Ω) </t>
  </si>
  <si>
    <t>R(Ω/km) </t>
  </si>
  <si>
    <t>L(mH/km) </t>
  </si>
  <si>
    <t>B(Ω·km)</t>
  </si>
  <si>
    <t>C(μF/km)</t>
  </si>
  <si>
    <t>    13.849-3.784j</t>
  </si>
  <si>
    <t>     0.423+0.164j</t>
  </si>
  <si>
    <t>    0.783</t>
  </si>
  <si>
    <t>    2.416 </t>
  </si>
  <si>
    <t>    13.140-2.106j</t>
  </si>
  <si>
    <t>     0.479+0.471j</t>
  </si>
  <si>
    <t>    0.886</t>
  </si>
  <si>
    <t>    2.777 </t>
  </si>
  <si>
    <t>    12.991-1.618j</t>
  </si>
  <si>
    <t>     0.565+0.658j</t>
  </si>
  <si>
    <t>    1.047</t>
  </si>
  <si>
    <t>    2.587 </t>
  </si>
  <si>
    <t>    12.812-1.550j</t>
  </si>
  <si>
    <t>     0.621+0.815j</t>
  </si>
  <si>
    <t>    1.149</t>
  </si>
  <si>
    <t>    2.402 </t>
  </si>
  <si>
    <t>    12.751-1.129j</t>
  </si>
  <si>
    <t>     0.685+0.994j</t>
  </si>
  <si>
    <t>    1.268</t>
  </si>
  <si>
    <t>    2.344 </t>
  </si>
  <si>
    <t>    12.653-1.587j</t>
  </si>
  <si>
    <t>     0.704+1.170j</t>
  </si>
  <si>
    <t>    1.304</t>
  </si>
  <si>
    <t>    2.299 </t>
  </si>
  <si>
    <t>    12.555-1.300j</t>
  </si>
  <si>
    <t>     0.789+1.301j</t>
  </si>
  <si>
    <t>    1.461</t>
  </si>
  <si>
    <t>    2.192 </t>
  </si>
  <si>
    <t>    12.421-1.383j</t>
  </si>
  <si>
    <t>     0.828+1.461j</t>
  </si>
  <si>
    <t>    1.534</t>
  </si>
  <si>
    <t>    2.152 </t>
  </si>
  <si>
    <t>    12.310-1.660j</t>
  </si>
  <si>
    <t>     0.887+1.726j</t>
  </si>
  <si>
    <t>    1.642</t>
  </si>
  <si>
    <t>    2.034 </t>
  </si>
  <si>
    <t>    12.240-1.017j</t>
  </si>
  <si>
    <t>     0.884+1.897j</t>
  </si>
  <si>
    <t>    1.636</t>
  </si>
  <si>
    <t>    2.033 </t>
  </si>
  <si>
    <t>    11.936-0.822j</t>
  </si>
  <si>
    <t>     0.984+2.038j</t>
  </si>
  <si>
    <t>    1.822</t>
  </si>
  <si>
    <t>    2.003 </t>
  </si>
  <si>
    <t>    11.489-0.332j</t>
  </si>
  <si>
    <t>     1.214+3.139j</t>
  </si>
  <si>
    <t>    2.249</t>
  </si>
  <si>
    <t>    1.850 </t>
  </si>
  <si>
    <t>    11.296-0.349j</t>
  </si>
  <si>
    <t>     1.408+5.978j</t>
  </si>
  <si>
    <t>    2.607</t>
  </si>
  <si>
    <t>    1.762 </t>
  </si>
  <si>
    <t>  3000.0</t>
  </si>
  <si>
    <t>    11.004-4.056j</t>
  </si>
  <si>
    <t>    1.930+13.591j</t>
  </si>
  <si>
    <t>    3.574</t>
  </si>
  <si>
    <t>    1.335 </t>
  </si>
  <si>
    <t>   6.749</t>
  </si>
  <si>
    <t>    2.897</t>
  </si>
  <si>
    <t>  5000.0</t>
  </si>
  <si>
    <t>    10.173-0.329j</t>
  </si>
  <si>
    <t>    1.489+25.658j</t>
  </si>
  <si>
    <t>    2.757</t>
  </si>
  <si>
    <t>    1.512 </t>
  </si>
  <si>
    <t>   5.499</t>
  </si>
  <si>
    <t>    0.187</t>
  </si>
  <si>
    <t>https://owenduffy.net/transmissionline/TE/TE.htm</t>
  </si>
  <si>
    <t>Has Two Port equivalent of a transmission line</t>
  </si>
  <si>
    <t xml:space="preserve">- - - - - - - -   STUART'S VALUES - - - - - - - - - - </t>
  </si>
  <si>
    <t>Y</t>
  </si>
  <si>
    <t xml:space="preserve">Linear frequency is playing a major role in </t>
  </si>
  <si>
    <t>-</t>
  </si>
  <si>
    <t xml:space="preserve"> per k-ft</t>
  </si>
  <si>
    <t>L per km</t>
  </si>
  <si>
    <r>
      <t>L</t>
    </r>
    <r>
      <rPr>
        <vertAlign val="subscript"/>
        <sz val="11"/>
        <color theme="1"/>
        <rFont val="Calibri"/>
        <family val="2"/>
        <scheme val="minor"/>
      </rPr>
      <t>E</t>
    </r>
  </si>
  <si>
    <r>
      <t>L</t>
    </r>
    <r>
      <rPr>
        <vertAlign val="subscript"/>
        <sz val="11"/>
        <color theme="1"/>
        <rFont val="Calibri"/>
        <family val="2"/>
        <scheme val="minor"/>
      </rPr>
      <t>I</t>
    </r>
  </si>
  <si>
    <t>13.8493191242004-3.78438957543242j</t>
  </si>
  <si>
    <t>0.422552561133884+0.163972213150836j</t>
  </si>
  <si>
    <t>13.1403671483725-2.10627981253941j</t>
  </si>
  <si>
    <t>0.478585888057305+0.471070231500191j</t>
  </si>
  <si>
    <t>12.9912413294736-1.6182000664785j</t>
  </si>
  <si>
    <t>0.565255339949694+0.658281684697979j</t>
  </si>
  <si>
    <t>12.8124798665392-1.54997284748511j</t>
  </si>
  <si>
    <t>0.620542377824432+0.814926067795026j</t>
  </si>
  <si>
    <t>12.7506475228429-1.12905607704781j</t>
  </si>
  <si>
    <t>0.684806967606506+0.993987595192733j</t>
  </si>
  <si>
    <t>12.6534964899474-1.58740435403792j</t>
  </si>
  <si>
    <t>0.704003420441987+1.17020920712554j</t>
  </si>
  <si>
    <t>12.5547453274639-1.30036604994767j</t>
  </si>
  <si>
    <t>0.789159926073524+1.30132442751394j</t>
  </si>
  <si>
    <t>12.4209048730455-1.3828752714692j</t>
  </si>
  <si>
    <t>0.828370413742984+1.46064502918405j</t>
  </si>
  <si>
    <t>12.3099703413676-1.66028156980715j</t>
  </si>
  <si>
    <t>0.886510181566933+1.72566268860254j</t>
  </si>
  <si>
    <t>12.2399953891741-1.01671636797169j</t>
  </si>
  <si>
    <t>0.883612555781011+1.89717255685786j</t>
  </si>
  <si>
    <t>11.9358193284556-0.822375171929309j</t>
  </si>
  <si>
    <t>0.983769442545242+2.03837096515436j</t>
  </si>
  <si>
    <t>11.489095330839-0.331713160656277j</t>
  </si>
  <si>
    <t>1.214466313337+3.13879843633208j</t>
  </si>
  <si>
    <t>11.2957159174106-0.348584038207054j</t>
  </si>
  <si>
    <t>1.40798322004729+5.97767339142238j</t>
  </si>
  <si>
    <t>11.0037313887516-4.05567905523942j</t>
  </si>
  <si>
    <t>1.93015831222109+13.5909808551895j</t>
  </si>
  <si>
    <t>10.1726050800657-0.32907442044491j</t>
  </si>
  <si>
    <t>1.48862902022702+25.6582230095188j</t>
  </si>
  <si>
    <t>gamma = sqrt(R / B)</t>
  </si>
  <si>
    <t>Z0 = sqrt(R * B)</t>
  </si>
  <si>
    <t>COSH</t>
  </si>
  <si>
    <t>SINH</t>
  </si>
  <si>
    <t>Voltage Start</t>
  </si>
  <si>
    <t>Current Start</t>
  </si>
  <si>
    <t>Voltage End</t>
  </si>
  <si>
    <t>Current End</t>
  </si>
  <si>
    <t xml:space="preserve"> Z-Open-CALC</t>
  </si>
  <si>
    <t>Z-Shorted-CALC</t>
  </si>
  <si>
    <t xml:space="preserve"> - - - - - - - - OPEN CIRCUIT CALC - - - - - - - - -</t>
  </si>
  <si>
    <t xml:space="preserve"> - - - - - - - - SHORT CIRCUIT CALC - - - - - - - - -</t>
  </si>
  <si>
    <t xml:space="preserve">  - - - - - - - - SETUP CALCS - - - - - - - -</t>
  </si>
  <si>
    <r>
      <rPr>
        <b/>
        <u/>
        <sz val="10"/>
        <rFont val="Calibri"/>
        <family val="2"/>
      </rPr>
      <t>Ω</t>
    </r>
    <r>
      <rPr>
        <b/>
        <u/>
        <sz val="10"/>
        <rFont val="Arial"/>
        <family val="2"/>
      </rPr>
      <t xml:space="preserve"> shunt/ detector</t>
    </r>
  </si>
  <si>
    <t>B-true</t>
  </si>
  <si>
    <t>Z-true</t>
  </si>
  <si>
    <t xml:space="preserve"> Z-Open (B-Hat)</t>
  </si>
  <si>
    <t>Z-Shorted (Z-Hat)</t>
  </si>
  <si>
    <t>Ivanek Raw Measurements (Table 3)</t>
  </si>
  <si>
    <t>Converted True Values, using Landau Formulas (11) and (12)</t>
  </si>
  <si>
    <t>Rail Results</t>
  </si>
  <si>
    <t>175 Hz Example</t>
  </si>
  <si>
    <t>Ballast Results</t>
  </si>
  <si>
    <t>R(Ω-km) </t>
  </si>
  <si>
    <t>ohms/k-ft</t>
  </si>
  <si>
    <t>RAIL REGRESSION - Z-Real</t>
  </si>
  <si>
    <t>in  ohms/km</t>
  </si>
  <si>
    <t>I HAVE CONVERTED THIS TO Ohm-Km Basis</t>
  </si>
  <si>
    <t>Real</t>
  </si>
  <si>
    <t>Imag</t>
  </si>
  <si>
    <t>in ohms/km</t>
  </si>
  <si>
    <t>in ohms-km</t>
  </si>
  <si>
    <t>7.43521093452682-2.03170527730828j</t>
  </si>
  <si>
    <t>7.05459962537452-1.13078733711902j</t>
  </si>
  <si>
    <t>6.97453923328203-0.868754537362688j</t>
  </si>
  <si>
    <t>6.87856850923688-0.832125750045227j</t>
  </si>
  <si>
    <t>6.84537290490173-0.606150382879888j</t>
  </si>
  <si>
    <t>6.79321594212203-0.852221405602109j</t>
  </si>
  <si>
    <t>6.74019992620745-0.69812066475987j</t>
  </si>
  <si>
    <t>6.66834570714806-0.742416955469512j</t>
  </si>
  <si>
    <t>6.60878887005367-0.891346612170452j</t>
  </si>
  <si>
    <t>6.57122178642839-0.545839155604839j</t>
  </si>
  <si>
    <t>6.40792038854785-0.441504222393691j</t>
  </si>
  <si>
    <t>6.16809003140124-0.178085095528506j</t>
  </si>
  <si>
    <t>6.06427144535085-0.187142474603656j</t>
  </si>
  <si>
    <t xml:space="preserve">ω = 2 π f </t>
  </si>
  <si>
    <t xml:space="preserve">1 /ω </t>
  </si>
  <si>
    <t>PRED</t>
  </si>
  <si>
    <t>C=</t>
  </si>
  <si>
    <t>I=</t>
  </si>
  <si>
    <t>mF</t>
  </si>
  <si>
    <t>µH</t>
  </si>
  <si>
    <t>Const</t>
  </si>
  <si>
    <t>Cap Term</t>
  </si>
  <si>
    <t>Ind Teerm</t>
  </si>
  <si>
    <t>Constant actually has negative sign and is base level of inducive reaction</t>
  </si>
  <si>
    <t>Equiv Capacitance mF</t>
  </si>
  <si>
    <t>Inductance Driver</t>
  </si>
  <si>
    <t>Capacitance Driver</t>
  </si>
  <si>
    <t>degrees</t>
  </si>
  <si>
    <t>WHAT ABOUT THE CONSTANT?</t>
  </si>
  <si>
    <t>LEFT SIDE</t>
  </si>
  <si>
    <t>RIGHT SIDE</t>
  </si>
  <si>
    <t>Ω</t>
  </si>
  <si>
    <t>mH</t>
  </si>
  <si>
    <t>in Ohm-km basis</t>
  </si>
  <si>
    <t>CMPL L</t>
  </si>
  <si>
    <t>CMPL R</t>
  </si>
  <si>
    <t>COMBINED MODEL RESULT</t>
  </si>
  <si>
    <t>Z-Impedance - B-true</t>
  </si>
  <si>
    <t>Z-Impedance - Equiv Circuit</t>
  </si>
  <si>
    <t>Smoothed B-True</t>
  </si>
  <si>
    <t>from  "Ballast Model w IVANEK"</t>
  </si>
  <si>
    <t>6.95770597932845-1.00120260305679j</t>
  </si>
  <si>
    <t>6.9202410175336-0.952373375914326j</t>
  </si>
  <si>
    <t>6.8833101392789-0.905925578280787j</t>
  </si>
  <si>
    <t>6.84701035213788-0.86174306646851j</t>
  </si>
  <si>
    <t>6.8114222223245-0.819715361184321j</t>
  </si>
  <si>
    <t>6.7766117909248-0.779737371273756j</t>
  </si>
  <si>
    <t>6.74263229062584-0.741709130938435j</t>
  </si>
  <si>
    <t>6.67732403258361-0.671126174972029j</t>
  </si>
  <si>
    <t>6.64605073886923-0.638394965186008j</t>
  </si>
  <si>
    <t>6.61572163251294-0.60726007533804j</t>
  </si>
  <si>
    <t>6.40716853762189-0.407058601656201j</t>
  </si>
  <si>
    <t>6.10472598447899-0.149748490901312j</t>
  </si>
  <si>
    <t>ORIGNAL B-true</t>
  </si>
  <si>
    <t>https://eepower.com/capacitor-guide/fundamentals/parasitic-inductance/</t>
  </si>
  <si>
    <t>FILTERED B-true</t>
  </si>
  <si>
    <t>GRAPHS-REAL COMPARISON</t>
  </si>
  <si>
    <t>Real-B-true</t>
  </si>
  <si>
    <t>Filtered-B-true</t>
  </si>
  <si>
    <t>Equiv-Circuit</t>
  </si>
  <si>
    <t>GRAPHS-IMAG COMPARISON</t>
  </si>
  <si>
    <t>ALSO REMEMBER</t>
  </si>
  <si>
    <t>Dielectric Relaxation</t>
  </si>
  <si>
    <t>https://www.millersville.edu/physics/experiments/104/index.php</t>
  </si>
  <si>
    <t>Pure Reistance Comp</t>
  </si>
  <si>
    <t>Resist/Capacitance Comp</t>
  </si>
  <si>
    <t>Two Parts of the Model</t>
  </si>
  <si>
    <t>LEFT SIDE Ω</t>
  </si>
  <si>
    <t>RIGHT SIDE Ω</t>
  </si>
  <si>
    <t>Parasitic Inductance</t>
  </si>
  <si>
    <t>https://techweb.rohm.com/knowledge/emc/s-emc/03-s-emc/7549</t>
  </si>
  <si>
    <t xml:space="preserve">C and ELS form a series resonance circuit, and the impedance of the capacitor has what is essentially a V-shape frequency characteristic, </t>
  </si>
  <si>
    <t xml:space="preserve">as shown in the diagram. Up until the resonance frequency, the capacitive characteristic is exhibited, and the impedance falls. </t>
  </si>
  <si>
    <t xml:space="preserve">The impedance at the resonance frequency depends on the ESR. When the resonance frequency is exceeded, the impedance characteristic changes </t>
  </si>
  <si>
    <t>to inductive, and as the frequency rises, the impedance increases. The inductive impedance characteristic depends on the ESL.</t>
  </si>
  <si>
    <t>https://www.mdpi.com/1424-8220/20/24/7259/pdf</t>
  </si>
  <si>
    <t>https://uk.farnell.com/parasitic-capacitance-definition</t>
  </si>
  <si>
    <t>https://techweb.rohm.com/knowledge/emc/s-emc/04-s-emc/8136</t>
  </si>
  <si>
    <t>(Scroll down to line 180)</t>
  </si>
  <si>
    <t>Zreal</t>
  </si>
  <si>
    <t>ZImag</t>
  </si>
  <si>
    <t>Hz</t>
  </si>
  <si>
    <t>imag</t>
  </si>
  <si>
    <t>SOURCE:</t>
  </si>
  <si>
    <t>https://en.wikipedia.org/wiki/Inductance#Mutual_inductance</t>
  </si>
  <si>
    <t>Sum if B+d is 341 mm</t>
  </si>
  <si>
    <r>
      <t>µ</t>
    </r>
    <r>
      <rPr>
        <vertAlign val="subscript"/>
        <sz val="11"/>
        <color theme="1"/>
        <rFont val="Calibri"/>
        <family val="2"/>
      </rPr>
      <t>0</t>
    </r>
  </si>
  <si>
    <t>the UIC 60 rail w=317 mm and t =24 mm.</t>
  </si>
  <si>
    <t>b</t>
  </si>
  <si>
    <t>d</t>
  </si>
  <si>
    <t>a</t>
  </si>
  <si>
    <t>0.04921 equivalent circular representation of radius based on rail cross section area.  Rail height however is 0.17 meter</t>
  </si>
  <si>
    <t>Y is to run sensitivity analysis range from 0 to 1.  Y=0 is complete skin effect</t>
  </si>
  <si>
    <t>L (mH)</t>
  </si>
  <si>
    <t>My Payne equation result is:</t>
  </si>
  <si>
    <t>Range is 1.393 to 1.493</t>
  </si>
  <si>
    <t>r of equivalent radius</t>
  </si>
  <si>
    <t>FR IVANEK</t>
  </si>
  <si>
    <t>0.787074545352328+0.305425565922006j</t>
  </si>
  <si>
    <t>0.891445952295136+0.877446789796058j</t>
  </si>
  <si>
    <t>1.0528822461874+1.226159312127j</t>
  </si>
  <si>
    <t>1.15586356544001+1.5179355737056j</t>
  </si>
  <si>
    <t>1.27556707084357+1.8514675013987j</t>
  </si>
  <si>
    <t>1.31132366251425+2.17970961338846j</t>
  </si>
  <si>
    <t>1.46994184192815+2.42393355608342j</t>
  </si>
  <si>
    <t>1.54297790795664+2.72069472063126j</t>
  </si>
  <si>
    <t>1.65127291202461+3.21433426511163j</t>
  </si>
  <si>
    <t>1.64587560123341+3.53379996949231j</t>
  </si>
  <si>
    <t>1.83243448967637+3.79680552959641j</t>
  </si>
  <si>
    <t>2.26214584725372+5.8465350336521j</t>
  </si>
  <si>
    <t>2.62260332728478+11.1344126141215j</t>
  </si>
  <si>
    <t>2.7728195662793+47.7927151963635j</t>
  </si>
  <si>
    <t>3.59524143451608+25.3154661961714j</t>
  </si>
  <si>
    <t>REAL</t>
  </si>
  <si>
    <t>Std Gauge</t>
  </si>
  <si>
    <t>IMAG</t>
  </si>
  <si>
    <t>Russian Gauge</t>
  </si>
  <si>
    <t>Head Width</t>
  </si>
  <si>
    <t>SUSPECT/ERROR</t>
  </si>
  <si>
    <t>USE (Russian)</t>
  </si>
  <si>
    <r>
      <t>µ</t>
    </r>
    <r>
      <rPr>
        <b/>
        <vertAlign val="subscript"/>
        <sz val="11"/>
        <color rgb="FFFF0000"/>
        <rFont val="Calibri"/>
        <family val="2"/>
        <scheme val="minor"/>
      </rPr>
      <t>RT</t>
    </r>
  </si>
  <si>
    <t>Relative Permeability of the Track Bed</t>
  </si>
  <si>
    <t>µ'/ µ" WTG</t>
  </si>
  <si>
    <t>Rail Permeability Ratio (to be calibrated)</t>
  </si>
  <si>
    <r>
      <t>µ'’</t>
    </r>
    <r>
      <rPr>
        <b/>
        <i/>
        <vertAlign val="subscript"/>
        <sz val="11"/>
        <color rgb="FFFF0000"/>
        <rFont val="Calibri"/>
        <family val="2"/>
        <scheme val="minor"/>
      </rPr>
      <t>iron simple ratio</t>
    </r>
  </si>
  <si>
    <t>s</t>
  </si>
  <si>
    <r>
      <t>µ</t>
    </r>
    <r>
      <rPr>
        <b/>
        <vertAlign val="subscript"/>
        <sz val="11"/>
        <color rgb="FFFF0000"/>
        <rFont val="Calibri"/>
        <family val="2"/>
        <scheme val="minor"/>
      </rPr>
      <t>o</t>
    </r>
  </si>
  <si>
    <t>PERMEABILITY OF FREE SPACE</t>
  </si>
  <si>
    <t>OUTER IRON LAYER</t>
  </si>
  <si>
    <t>mH/km</t>
  </si>
  <si>
    <t>There is no frequency dependence on External Inductance.</t>
  </si>
  <si>
    <t>HIGH</t>
  </si>
  <si>
    <t>LOW</t>
  </si>
  <si>
    <r>
      <t>µ’</t>
    </r>
    <r>
      <rPr>
        <b/>
        <vertAlign val="subscript"/>
        <sz val="11"/>
        <color rgb="FFFF0000"/>
        <rFont val="Calibri"/>
        <family val="2"/>
        <scheme val="minor"/>
      </rPr>
      <t>iron</t>
    </r>
  </si>
  <si>
    <t>RELAX f</t>
  </si>
  <si>
    <r>
      <t>µ'’</t>
    </r>
    <r>
      <rPr>
        <b/>
        <i/>
        <vertAlign val="subscript"/>
        <sz val="11"/>
        <color rgb="FFFF0000"/>
        <rFont val="Calibri"/>
        <family val="2"/>
        <scheme val="minor"/>
      </rPr>
      <t>iron</t>
    </r>
  </si>
  <si>
    <t>RATIO x1000</t>
  </si>
  <si>
    <t>INNER STEEL LAYER</t>
  </si>
  <si>
    <t>PERM</t>
  </si>
  <si>
    <r>
      <t>δ</t>
    </r>
    <r>
      <rPr>
        <b/>
        <vertAlign val="subscript"/>
        <sz val="11"/>
        <color rgb="FFFF0000"/>
        <rFont val="Calibri"/>
        <family val="2"/>
        <scheme val="minor"/>
      </rPr>
      <t>iron</t>
    </r>
  </si>
  <si>
    <t>in mm</t>
  </si>
  <si>
    <t>DECARB DEPTH</t>
  </si>
  <si>
    <r>
      <t>%</t>
    </r>
    <r>
      <rPr>
        <b/>
        <vertAlign val="subscript"/>
        <sz val="11"/>
        <color rgb="FFFF0000"/>
        <rFont val="Calibri"/>
        <family val="2"/>
        <scheme val="minor"/>
      </rPr>
      <t>flux-in-iron</t>
    </r>
  </si>
  <si>
    <t>mm</t>
  </si>
  <si>
    <r>
      <t>µ’</t>
    </r>
    <r>
      <rPr>
        <b/>
        <vertAlign val="subscript"/>
        <sz val="11"/>
        <color rgb="FFFF0000"/>
        <rFont val="Calibri"/>
        <family val="2"/>
        <scheme val="minor"/>
      </rPr>
      <t>weighted</t>
    </r>
  </si>
  <si>
    <r>
      <t>k-alt</t>
    </r>
    <r>
      <rPr>
        <b/>
        <vertAlign val="subscript"/>
        <sz val="11"/>
        <color rgb="FFFF0000"/>
        <rFont val="Calibri"/>
        <family val="2"/>
        <scheme val="minor"/>
      </rPr>
      <t xml:space="preserve"> (not working)</t>
    </r>
  </si>
  <si>
    <t>Cofficients for k equation</t>
  </si>
  <si>
    <t>k</t>
  </si>
  <si>
    <t>A</t>
  </si>
  <si>
    <t>x</t>
  </si>
  <si>
    <t>C</t>
  </si>
  <si>
    <t>p</t>
  </si>
  <si>
    <t>dimensionless, but should it be divided by 1000?</t>
  </si>
  <si>
    <t>D</t>
  </si>
  <si>
    <t>N</t>
  </si>
  <si>
    <r>
      <t>F</t>
    </r>
    <r>
      <rPr>
        <b/>
        <vertAlign val="subscript"/>
        <sz val="11"/>
        <color rgb="FFFF0000"/>
        <rFont val="Calibri"/>
        <family val="2"/>
        <scheme val="minor"/>
      </rPr>
      <t>(f)</t>
    </r>
    <r>
      <rPr>
        <b/>
        <sz val="11"/>
        <color rgb="FFFF0000"/>
        <rFont val="Calibri"/>
        <family val="2"/>
        <scheme val="minor"/>
      </rPr>
      <t xml:space="preserve"> </t>
    </r>
  </si>
  <si>
    <t>was</t>
  </si>
  <si>
    <r>
      <t>K</t>
    </r>
    <r>
      <rPr>
        <b/>
        <vertAlign val="subscript"/>
        <sz val="11"/>
        <color rgb="FFFF0000"/>
        <rFont val="Calibri"/>
        <family val="2"/>
        <scheme val="minor"/>
      </rPr>
      <t>C</t>
    </r>
    <r>
      <rPr>
        <b/>
        <sz val="11"/>
        <color rgb="FFFF0000"/>
        <rFont val="Calibri"/>
        <family val="2"/>
        <scheme val="minor"/>
      </rPr>
      <t xml:space="preserve"> </t>
    </r>
  </si>
  <si>
    <t>kp = 7.2 fudge fct</t>
  </si>
  <si>
    <r>
      <t>µ</t>
    </r>
    <r>
      <rPr>
        <b/>
        <vertAlign val="subscript"/>
        <sz val="11"/>
        <color rgb="FFFF0000"/>
        <rFont val="Calibri"/>
        <family val="2"/>
        <scheme val="minor"/>
      </rPr>
      <t>0</t>
    </r>
    <r>
      <rPr>
        <b/>
        <sz val="11"/>
        <color rgb="FFFF0000"/>
        <rFont val="Calibri"/>
        <family val="2"/>
        <scheme val="minor"/>
      </rPr>
      <t xml:space="preserve"> Induc Z</t>
    </r>
    <r>
      <rPr>
        <b/>
        <vertAlign val="subscript"/>
        <sz val="11"/>
        <color rgb="FFFF0000"/>
        <rFont val="Calibri"/>
        <family val="2"/>
        <scheme val="minor"/>
      </rPr>
      <t>EXT</t>
    </r>
  </si>
  <si>
    <t>Ω/km</t>
  </si>
  <si>
    <t>RAW External Impedance</t>
  </si>
  <si>
    <t>A/C</t>
  </si>
  <si>
    <r>
      <t>µ</t>
    </r>
    <r>
      <rPr>
        <b/>
        <vertAlign val="subscript"/>
        <sz val="11"/>
        <color rgb="FFFF0000"/>
        <rFont val="Calibri"/>
        <family val="2"/>
        <scheme val="minor"/>
      </rPr>
      <t>RT</t>
    </r>
    <r>
      <rPr>
        <b/>
        <sz val="11"/>
        <color rgb="FFFF0000"/>
        <rFont val="Calibri"/>
        <family val="2"/>
        <scheme val="minor"/>
      </rPr>
      <t xml:space="preserve"> Adj- Induc Z</t>
    </r>
    <r>
      <rPr>
        <b/>
        <vertAlign val="subscript"/>
        <sz val="11"/>
        <color rgb="FFFF0000"/>
        <rFont val="Calibri"/>
        <family val="2"/>
        <scheme val="minor"/>
      </rPr>
      <t>EXT</t>
    </r>
  </si>
  <si>
    <t>ADJUSTED External Impedance (for steel in the track)</t>
  </si>
  <si>
    <t>B/D</t>
  </si>
  <si>
    <r>
      <t>µ</t>
    </r>
    <r>
      <rPr>
        <b/>
        <vertAlign val="subscript"/>
        <sz val="11"/>
        <color rgb="FFFF0000"/>
        <rFont val="Calibri"/>
        <family val="2"/>
        <scheme val="minor"/>
      </rPr>
      <t>’weighted</t>
    </r>
    <r>
      <rPr>
        <b/>
        <sz val="11"/>
        <color rgb="FFFF0000"/>
        <rFont val="Calibri"/>
        <family val="2"/>
        <scheme val="minor"/>
      </rPr>
      <t xml:space="preserve"> Induc Z</t>
    </r>
    <r>
      <rPr>
        <b/>
        <vertAlign val="subscript"/>
        <sz val="11"/>
        <color rgb="FFFF0000"/>
        <rFont val="Calibri"/>
        <family val="2"/>
        <scheme val="minor"/>
      </rPr>
      <t>INT</t>
    </r>
  </si>
  <si>
    <t>Internal Impedance</t>
  </si>
  <si>
    <r>
      <t>Induc Z</t>
    </r>
    <r>
      <rPr>
        <b/>
        <vertAlign val="subscript"/>
        <sz val="11"/>
        <color rgb="FFFF0000"/>
        <rFont val="Calibri"/>
        <family val="2"/>
        <scheme val="minor"/>
      </rPr>
      <t>TOT</t>
    </r>
  </si>
  <si>
    <t>Ω-km</t>
  </si>
  <si>
    <t>(Imaginary Impedance Coefficient)</t>
  </si>
  <si>
    <t>IMAG COMP</t>
  </si>
  <si>
    <t>validation</t>
  </si>
  <si>
    <t xml:space="preserve"> DC Resitivity</t>
  </si>
  <si>
    <t>ohms-km (for 2 rails in series resistance)</t>
  </si>
  <si>
    <r>
      <t>R</t>
    </r>
    <r>
      <rPr>
        <b/>
        <vertAlign val="subscript"/>
        <sz val="11"/>
        <color rgb="FFFF0000"/>
        <rFont val="Calibri"/>
        <family val="2"/>
        <scheme val="minor"/>
      </rPr>
      <t>ac Skin Effect</t>
    </r>
  </si>
  <si>
    <t>AC Resistance due to Skin Effect</t>
  </si>
  <si>
    <t>Raw MagLoss</t>
  </si>
  <si>
    <t>RAW Magnetic Losses Term</t>
  </si>
  <si>
    <t>ADJ MagLoss</t>
  </si>
  <si>
    <t>ADJUSTED Magnetic Losses Term</t>
  </si>
  <si>
    <r>
      <t>R</t>
    </r>
    <r>
      <rPr>
        <b/>
        <vertAlign val="subscript"/>
        <sz val="11"/>
        <color rgb="FFFF0000"/>
        <rFont val="Calibri"/>
        <family val="2"/>
        <scheme val="minor"/>
      </rPr>
      <t>ac TOTAL</t>
    </r>
  </si>
  <si>
    <t>(Real Impedance Coefficient)</t>
  </si>
  <si>
    <t>REAL COMP</t>
  </si>
  <si>
    <t>Skin Effect</t>
  </si>
  <si>
    <t>Total Losses</t>
  </si>
  <si>
    <r>
      <t>% R</t>
    </r>
    <r>
      <rPr>
        <b/>
        <vertAlign val="subscript"/>
        <sz val="11"/>
        <color rgb="FFFF0000"/>
        <rFont val="Calibri"/>
        <family val="2"/>
        <scheme val="minor"/>
      </rPr>
      <t>ac Skin Effect</t>
    </r>
  </si>
  <si>
    <t>This regression only</t>
  </si>
  <si>
    <t>had the SQRT term</t>
  </si>
  <si>
    <t>External</t>
  </si>
  <si>
    <t>Pct</t>
  </si>
  <si>
    <t>IMAGINARY TERM</t>
  </si>
  <si>
    <t>IMAGINARY</t>
  </si>
  <si>
    <t>This is the initial version of the workbook,</t>
  </si>
  <si>
    <t>it has not been cleaned up or polished yet.</t>
  </si>
  <si>
    <t>Loaded on April 20, 2021</t>
  </si>
  <si>
    <t>I will update this page to reflect the status of the</t>
  </si>
  <si>
    <t>documentation of this workbook.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</si>
</sst>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00"/>
    <numFmt numFmtId="166" formatCode="0.000000"/>
    <numFmt numFmtId="167" formatCode="0.0000"/>
    <numFmt numFmtId="168" formatCode="0.0"/>
    <numFmt numFmtId="169" formatCode="#,##0.000"/>
    <numFmt numFmtId="170" formatCode="0.000000000"/>
    <numFmt numFmtId="171" formatCode="0.0%"/>
  </numFmts>
  <fonts count="31">
    <font>
      <sz val="11"/>
      <color theme="1"/>
      <name val="Calibri"/>
      <family val="2"/>
      <scheme val="minor"/>
    </font>
    <font>
      <b/>
      <sz val="11"/>
      <color theme="1"/>
      <name val="Calibri"/>
      <family val="2"/>
      <scheme val="minor"/>
    </font>
    <font>
      <b/>
      <i/>
      <sz val="11"/>
      <color theme="1"/>
      <name val="Calibri"/>
      <family val="2"/>
      <scheme val="minor"/>
    </font>
    <font>
      <b/>
      <sz val="20"/>
      <color theme="1"/>
      <name val="Calibri"/>
      <family val="2"/>
      <scheme val="minor"/>
    </font>
    <font>
      <b/>
      <sz val="16"/>
      <color theme="1"/>
      <name val="Calibri"/>
      <family val="2"/>
      <scheme val="minor"/>
    </font>
    <font>
      <sz val="11"/>
      <color theme="1"/>
      <name val="Calibri"/>
      <family val="2"/>
    </font>
    <font>
      <i/>
      <sz val="11"/>
      <color theme="1"/>
      <name val="Calibri"/>
      <family val="2"/>
      <scheme val="minor"/>
    </font>
    <font>
      <b/>
      <sz val="13"/>
      <color rgb="FF333333"/>
      <name val="MathJax_Math-italic"/>
    </font>
    <font>
      <b/>
      <sz val="13"/>
      <color rgb="FF333333"/>
      <name val="MathJax_Main"/>
    </font>
    <font>
      <b/>
      <vertAlign val="subscript"/>
      <sz val="9"/>
      <color rgb="FF333333"/>
      <name val="MathJax_Math-italic"/>
    </font>
    <font>
      <b/>
      <sz val="18"/>
      <color rgb="FF000000"/>
      <name val="Calibri"/>
      <family val="2"/>
      <scheme val="minor"/>
    </font>
    <font>
      <b/>
      <sz val="18"/>
      <color theme="1"/>
      <name val="Calibri"/>
      <family val="2"/>
      <scheme val="minor"/>
    </font>
    <font>
      <sz val="11"/>
      <color rgb="FF000000"/>
      <name val="Courier New"/>
      <family val="3"/>
    </font>
    <font>
      <vertAlign val="subscript"/>
      <sz val="11"/>
      <color theme="1"/>
      <name val="Calibri"/>
      <family val="2"/>
      <scheme val="minor"/>
    </font>
    <font>
      <sz val="10"/>
      <name val="Arial"/>
      <family val="2"/>
    </font>
    <font>
      <b/>
      <sz val="11"/>
      <color rgb="FF1F497D"/>
      <name val="Calibri"/>
      <family val="2"/>
    </font>
    <font>
      <b/>
      <u/>
      <sz val="10"/>
      <name val="Calibri"/>
      <family val="2"/>
    </font>
    <font>
      <b/>
      <u/>
      <sz val="10"/>
      <name val="Arial"/>
      <family val="2"/>
    </font>
    <font>
      <b/>
      <sz val="12"/>
      <color theme="1"/>
      <name val="Calibri"/>
      <family val="2"/>
      <scheme val="minor"/>
    </font>
    <font>
      <b/>
      <sz val="11"/>
      <color rgb="FFFF0000"/>
      <name val="Calibri"/>
      <family val="2"/>
      <scheme val="minor"/>
    </font>
    <font>
      <sz val="11"/>
      <color rgb="FF000000"/>
      <name val="Calibri"/>
      <family val="2"/>
      <scheme val="minor"/>
    </font>
    <font>
      <sz val="12"/>
      <color rgb="FF000000"/>
      <name val="Calibri"/>
      <family val="2"/>
      <scheme val="minor"/>
    </font>
    <font>
      <u/>
      <sz val="11"/>
      <color theme="10"/>
      <name val="Calibri"/>
      <family val="2"/>
      <scheme val="minor"/>
    </font>
    <font>
      <b/>
      <sz val="14"/>
      <color theme="1"/>
      <name val="Calibri"/>
      <family val="2"/>
      <scheme val="minor"/>
    </font>
    <font>
      <sz val="16"/>
      <color theme="1"/>
      <name val="Calibri"/>
      <family val="2"/>
      <scheme val="minor"/>
    </font>
    <font>
      <u/>
      <sz val="16"/>
      <color theme="10"/>
      <name val="Calibri"/>
      <family val="2"/>
      <scheme val="minor"/>
    </font>
    <font>
      <vertAlign val="subscript"/>
      <sz val="11"/>
      <color theme="1"/>
      <name val="Calibri"/>
      <family val="2"/>
    </font>
    <font>
      <b/>
      <vertAlign val="subscript"/>
      <sz val="11"/>
      <color rgb="FFFF0000"/>
      <name val="Calibri"/>
      <family val="2"/>
      <scheme val="minor"/>
    </font>
    <font>
      <b/>
      <i/>
      <sz val="11"/>
      <color rgb="FFFF0000"/>
      <name val="Calibri"/>
      <family val="2"/>
      <scheme val="minor"/>
    </font>
    <font>
      <b/>
      <i/>
      <vertAlign val="subscript"/>
      <sz val="11"/>
      <color rgb="FFFF0000"/>
      <name val="Calibri"/>
      <family val="2"/>
      <scheme val="minor"/>
    </font>
    <font>
      <i/>
      <sz val="12"/>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indexed="65"/>
        <bgColor indexed="64"/>
      </patternFill>
    </fill>
  </fills>
  <borders count="42">
    <border>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top style="thick">
        <color auto="1"/>
      </top>
      <bottom/>
      <diagonal/>
    </border>
    <border>
      <left/>
      <right/>
      <top/>
      <bottom style="thick">
        <color auto="1"/>
      </bottom>
      <diagonal/>
    </border>
    <border>
      <left/>
      <right/>
      <top/>
      <bottom style="medium">
        <color indexed="64"/>
      </bottom>
      <diagonal/>
    </border>
    <border>
      <left/>
      <right/>
      <top style="medium">
        <color indexed="64"/>
      </top>
      <bottom style="thin">
        <color indexed="64"/>
      </bottom>
      <diagonal/>
    </border>
    <border>
      <left style="mediumDashed">
        <color auto="1"/>
      </left>
      <right/>
      <top style="mediumDashed">
        <color auto="1"/>
      </top>
      <bottom style="mediumDashed">
        <color auto="1"/>
      </bottom>
      <diagonal/>
    </border>
    <border>
      <left style="mediumDashed">
        <color auto="1"/>
      </left>
      <right style="thick">
        <color auto="1"/>
      </right>
      <top style="mediumDashed">
        <color auto="1"/>
      </top>
      <bottom style="mediumDashed">
        <color auto="1"/>
      </bottom>
      <diagonal/>
    </border>
    <border>
      <left style="thick">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thin">
        <color auto="1"/>
      </right>
      <top/>
      <bottom style="thick">
        <color auto="1"/>
      </bottom>
      <diagonal/>
    </border>
    <border>
      <left style="thin">
        <color auto="1"/>
      </left>
      <right/>
      <top/>
      <bottom style="thick">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style="thin">
        <color auto="1"/>
      </right>
      <top/>
      <bottom/>
      <diagonal/>
    </border>
    <border>
      <left style="thick">
        <color auto="1"/>
      </left>
      <right style="thin">
        <color auto="1"/>
      </right>
      <top style="thick">
        <color auto="1"/>
      </top>
      <bottom/>
      <diagonal/>
    </border>
    <border>
      <left style="thin">
        <color auto="1"/>
      </left>
      <right style="thick">
        <color auto="1"/>
      </right>
      <top style="thick">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s>
  <cellStyleXfs count="3">
    <xf numFmtId="0" fontId="0" fillId="0" borderId="0"/>
    <xf numFmtId="0" fontId="14" fillId="0" borderId="0"/>
    <xf numFmtId="0" fontId="22" fillId="0" borderId="0" applyNumberFormat="0" applyFill="0" applyBorder="0" applyAlignment="0" applyProtection="0"/>
  </cellStyleXfs>
  <cellXfs count="203">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0" borderId="0" xfId="0" applyAlignment="1"/>
    <xf numFmtId="0" fontId="1" fillId="0" borderId="0" xfId="0" applyFont="1" applyAlignment="1"/>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3" borderId="0" xfId="0" applyFill="1" applyAlignment="1">
      <alignment horizontal="center"/>
    </xf>
    <xf numFmtId="0" fontId="0" fillId="3" borderId="0" xfId="0" applyFill="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1" fillId="0" borderId="0" xfId="0" applyFont="1" applyAlignment="1">
      <alignment horizontal="left"/>
    </xf>
    <xf numFmtId="0" fontId="0" fillId="0" borderId="0" xfId="0" applyFill="1"/>
    <xf numFmtId="0" fontId="0" fillId="0" borderId="0" xfId="0" applyBorder="1" applyAlignment="1">
      <alignment horizontal="center"/>
    </xf>
    <xf numFmtId="0" fontId="1" fillId="0" borderId="0" xfId="0" applyFont="1"/>
    <xf numFmtId="0" fontId="0" fillId="3" borderId="0" xfId="0" applyFill="1" applyAlignment="1">
      <alignment horizontal="center"/>
    </xf>
    <xf numFmtId="0" fontId="0" fillId="0" borderId="0" xfId="0" applyBorder="1"/>
    <xf numFmtId="0" fontId="0" fillId="3" borderId="0" xfId="0" applyFill="1" applyBorder="1"/>
    <xf numFmtId="0" fontId="0" fillId="3" borderId="0" xfId="0" applyFill="1" applyAlignment="1">
      <alignment horizontal="center"/>
    </xf>
    <xf numFmtId="0" fontId="0" fillId="2" borderId="0" xfId="0" applyFill="1" applyAlignment="1">
      <alignment horizontal="center"/>
    </xf>
    <xf numFmtId="0" fontId="3" fillId="0" borderId="0" xfId="0" applyFont="1" applyAlignment="1">
      <alignment horizontal="right"/>
    </xf>
    <xf numFmtId="0" fontId="3" fillId="0" borderId="13" xfId="0" applyFont="1" applyBorder="1" applyAlignment="1">
      <alignment horizontal="center"/>
    </xf>
    <xf numFmtId="0" fontId="0" fillId="3" borderId="14" xfId="0" applyFill="1" applyBorder="1"/>
    <xf numFmtId="0" fontId="0" fillId="0" borderId="3" xfId="0" applyBorder="1" applyAlignment="1">
      <alignment horizontal="center"/>
    </xf>
    <xf numFmtId="0" fontId="0" fillId="0" borderId="5" xfId="0" applyBorder="1" applyAlignment="1">
      <alignment horizontal="center"/>
    </xf>
    <xf numFmtId="0" fontId="4" fillId="0" borderId="1" xfId="0" applyFont="1" applyBorder="1" applyAlignment="1">
      <alignment horizontal="center"/>
    </xf>
    <xf numFmtId="164" fontId="0" fillId="0" borderId="0" xfId="0" applyNumberFormat="1"/>
    <xf numFmtId="2" fontId="0" fillId="3" borderId="0" xfId="0" applyNumberFormat="1" applyFill="1"/>
    <xf numFmtId="2" fontId="0" fillId="0" borderId="0" xfId="0" applyNumberFormat="1"/>
    <xf numFmtId="0" fontId="4" fillId="0" borderId="0" xfId="0" applyFont="1" applyBorder="1" applyAlignment="1">
      <alignment horizontal="center"/>
    </xf>
    <xf numFmtId="165" fontId="0" fillId="0" borderId="0" xfId="0" applyNumberFormat="1"/>
    <xf numFmtId="166" fontId="0" fillId="0" borderId="0" xfId="0" applyNumberFormat="1" applyAlignment="1">
      <alignment horizontal="center"/>
    </xf>
    <xf numFmtId="0" fontId="0" fillId="0" borderId="0" xfId="0" applyFill="1" applyBorder="1" applyAlignment="1"/>
    <xf numFmtId="0" fontId="0" fillId="0" borderId="15" xfId="0" applyFill="1" applyBorder="1" applyAlignment="1"/>
    <xf numFmtId="0" fontId="6" fillId="0" borderId="16" xfId="0" applyFont="1" applyFill="1" applyBorder="1" applyAlignment="1">
      <alignment horizontal="center"/>
    </xf>
    <xf numFmtId="0" fontId="6" fillId="0" borderId="16" xfId="0" applyFont="1" applyFill="1" applyBorder="1" applyAlignment="1">
      <alignment horizontal="centerContinuous"/>
    </xf>
    <xf numFmtId="0" fontId="0" fillId="3" borderId="0" xfId="0" applyFill="1" applyBorder="1" applyAlignment="1"/>
    <xf numFmtId="0" fontId="0" fillId="3" borderId="15" xfId="0" applyFill="1" applyBorder="1" applyAlignment="1"/>
    <xf numFmtId="0" fontId="6" fillId="3" borderId="0" xfId="0" applyFont="1" applyFill="1" applyBorder="1" applyAlignment="1"/>
    <xf numFmtId="0" fontId="6" fillId="0" borderId="0" xfId="0" applyFont="1"/>
    <xf numFmtId="9" fontId="0" fillId="0" borderId="0" xfId="0" applyNumberFormat="1"/>
    <xf numFmtId="0" fontId="7" fillId="0" borderId="0" xfId="0" applyFont="1"/>
    <xf numFmtId="0" fontId="6" fillId="3" borderId="0" xfId="0" applyFont="1" applyFill="1"/>
    <xf numFmtId="0" fontId="10" fillId="0" borderId="0" xfId="0" applyFont="1"/>
    <xf numFmtId="0" fontId="11" fillId="0" borderId="0" xfId="0" applyFont="1"/>
    <xf numFmtId="3" fontId="11" fillId="0" borderId="0" xfId="0" applyNumberFormat="1" applyFont="1"/>
    <xf numFmtId="165" fontId="0" fillId="0" borderId="0" xfId="0" applyNumberFormat="1" applyAlignment="1">
      <alignment horizontal="center"/>
    </xf>
    <xf numFmtId="165" fontId="0" fillId="0" borderId="0" xfId="0" applyNumberFormat="1" applyBorder="1" applyAlignment="1">
      <alignment horizontal="center"/>
    </xf>
    <xf numFmtId="165" fontId="0" fillId="3" borderId="0" xfId="0" applyNumberFormat="1"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165" fontId="0" fillId="0" borderId="0" xfId="0" applyNumberFormat="1" applyFill="1" applyBorder="1" applyAlignment="1">
      <alignment horizontal="center"/>
    </xf>
    <xf numFmtId="0" fontId="0" fillId="0" borderId="0" xfId="0" applyFill="1" applyBorder="1"/>
    <xf numFmtId="0" fontId="0" fillId="0" borderId="17" xfId="0" applyBorder="1"/>
    <xf numFmtId="0" fontId="3" fillId="0" borderId="2" xfId="0" applyFont="1" applyFill="1" applyBorder="1" applyAlignment="1">
      <alignment horizontal="center"/>
    </xf>
    <xf numFmtId="0" fontId="0" fillId="0" borderId="4" xfId="0" applyFill="1" applyBorder="1"/>
    <xf numFmtId="0" fontId="12" fillId="0" borderId="0" xfId="0" applyFont="1" applyAlignment="1">
      <alignment horizontal="center" wrapText="1"/>
    </xf>
    <xf numFmtId="167" fontId="0" fillId="3" borderId="0" xfId="0" applyNumberFormat="1" applyFill="1"/>
    <xf numFmtId="0" fontId="1" fillId="0" borderId="0" xfId="0" applyFont="1" applyAlignment="1">
      <alignment horizontal="center"/>
    </xf>
    <xf numFmtId="166" fontId="0" fillId="3" borderId="0" xfId="0" applyNumberFormat="1" applyFill="1" applyAlignment="1">
      <alignment horizontal="center"/>
    </xf>
    <xf numFmtId="165" fontId="0" fillId="3" borderId="0" xfId="0" applyNumberFormat="1" applyFill="1"/>
    <xf numFmtId="9" fontId="0" fillId="3" borderId="0" xfId="0" applyNumberFormat="1" applyFill="1"/>
    <xf numFmtId="166" fontId="1" fillId="0" borderId="0" xfId="0" applyNumberFormat="1" applyFont="1" applyAlignment="1">
      <alignment horizontal="center"/>
    </xf>
    <xf numFmtId="0" fontId="2" fillId="0" borderId="0" xfId="0" applyFont="1"/>
    <xf numFmtId="0" fontId="0" fillId="0" borderId="18" xfId="0" applyBorder="1"/>
    <xf numFmtId="167" fontId="14" fillId="0" borderId="0" xfId="1" applyNumberFormat="1" applyFill="1" applyBorder="1"/>
    <xf numFmtId="164" fontId="14" fillId="0" borderId="0" xfId="1" applyNumberFormat="1" applyFill="1" applyBorder="1"/>
    <xf numFmtId="0" fontId="15" fillId="0" borderId="0" xfId="1" applyFont="1" applyFill="1" applyBorder="1" applyAlignment="1">
      <alignment vertical="center"/>
    </xf>
    <xf numFmtId="0" fontId="0" fillId="0" borderId="3" xfId="0" applyFill="1" applyBorder="1" applyAlignment="1">
      <alignment horizontal="center"/>
    </xf>
    <xf numFmtId="0" fontId="0" fillId="0" borderId="5"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21" xfId="0" applyFill="1" applyBorder="1" applyAlignment="1">
      <alignment horizontal="center"/>
    </xf>
    <xf numFmtId="0" fontId="0" fillId="0" borderId="22" xfId="0" applyFill="1" applyBorder="1" applyAlignment="1">
      <alignment horizontal="center"/>
    </xf>
    <xf numFmtId="0" fontId="18" fillId="0" borderId="25" xfId="0" applyFont="1" applyBorder="1" applyAlignment="1">
      <alignment horizontal="center"/>
    </xf>
    <xf numFmtId="0" fontId="18" fillId="0" borderId="26" xfId="0" applyFont="1" applyBorder="1" applyAlignment="1">
      <alignment horizontal="center"/>
    </xf>
    <xf numFmtId="0" fontId="18" fillId="0" borderId="21" xfId="0" applyFont="1" applyBorder="1" applyAlignment="1">
      <alignment horizontal="center"/>
    </xf>
    <xf numFmtId="0" fontId="18" fillId="0" borderId="22" xfId="0" applyFont="1" applyBorder="1" applyAlignment="1">
      <alignment horizontal="center"/>
    </xf>
    <xf numFmtId="0" fontId="0" fillId="0" borderId="29" xfId="0" applyBorder="1" applyAlignment="1">
      <alignment horizontal="center"/>
    </xf>
    <xf numFmtId="0" fontId="0" fillId="0" borderId="29" xfId="0" applyFill="1" applyBorder="1" applyAlignment="1">
      <alignment horizontal="center"/>
    </xf>
    <xf numFmtId="0" fontId="0" fillId="0" borderId="25" xfId="0"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1" xfId="0" applyNumberFormat="1" applyFill="1" applyBorder="1" applyAlignment="1">
      <alignment horizontal="center"/>
    </xf>
    <xf numFmtId="167" fontId="0" fillId="0" borderId="22" xfId="0" applyNumberFormat="1" applyFill="1" applyBorder="1" applyAlignment="1">
      <alignment horizontal="center"/>
    </xf>
    <xf numFmtId="0" fontId="18" fillId="0" borderId="23" xfId="0" applyFont="1" applyBorder="1" applyAlignment="1">
      <alignment horizontal="center" vertical="center"/>
    </xf>
    <xf numFmtId="0" fontId="0" fillId="3" borderId="3" xfId="0" applyFill="1" applyBorder="1" applyAlignment="1">
      <alignment horizontal="center"/>
    </xf>
    <xf numFmtId="167" fontId="0" fillId="3" borderId="19" xfId="0" applyNumberFormat="1" applyFill="1" applyBorder="1" applyAlignment="1">
      <alignment horizontal="center"/>
    </xf>
    <xf numFmtId="167" fontId="0" fillId="3" borderId="20" xfId="0" applyNumberFormat="1" applyFill="1" applyBorder="1" applyAlignment="1">
      <alignment horizontal="center"/>
    </xf>
    <xf numFmtId="0" fontId="0" fillId="0" borderId="0" xfId="0" applyFill="1" applyBorder="1" applyAlignment="1">
      <alignment horizontal="center"/>
    </xf>
    <xf numFmtId="0" fontId="18" fillId="0" borderId="23" xfId="0" applyFont="1" applyBorder="1" applyAlignment="1">
      <alignment vertical="center" wrapText="1"/>
    </xf>
    <xf numFmtId="168" fontId="0" fillId="0" borderId="0" xfId="0" applyNumberFormat="1"/>
    <xf numFmtId="3" fontId="0" fillId="0" borderId="0" xfId="0" applyNumberFormat="1"/>
    <xf numFmtId="0" fontId="0" fillId="0" borderId="0" xfId="0" applyAlignment="1">
      <alignment horizontal="right"/>
    </xf>
    <xf numFmtId="0" fontId="0" fillId="3" borderId="0" xfId="0" applyFill="1" applyAlignment="1">
      <alignment horizontal="right"/>
    </xf>
    <xf numFmtId="0" fontId="19" fillId="0" borderId="0" xfId="0" applyFont="1" applyAlignment="1">
      <alignment horizontal="center"/>
    </xf>
    <xf numFmtId="2" fontId="0" fillId="0" borderId="0" xfId="0" applyNumberFormat="1" applyAlignment="1">
      <alignment horizontal="center"/>
    </xf>
    <xf numFmtId="0" fontId="0" fillId="0" borderId="0" xfId="0" applyAlignment="1">
      <alignment horizontal="right" indent="1"/>
    </xf>
    <xf numFmtId="0" fontId="4" fillId="3" borderId="0" xfId="0" applyFont="1" applyFill="1" applyBorder="1" applyAlignment="1">
      <alignment horizontal="center"/>
    </xf>
    <xf numFmtId="0" fontId="19" fillId="3" borderId="0" xfId="0" applyFont="1" applyFill="1" applyAlignment="1">
      <alignment horizontal="center"/>
    </xf>
    <xf numFmtId="2" fontId="0" fillId="3" borderId="0" xfId="0" applyNumberFormat="1" applyFill="1" applyAlignment="1">
      <alignment horizontal="center"/>
    </xf>
    <xf numFmtId="0" fontId="20" fillId="0" borderId="0" xfId="0" applyFont="1"/>
    <xf numFmtId="0" fontId="6" fillId="0" borderId="0" xfId="0" applyFont="1" applyAlignment="1">
      <alignment horizontal="center"/>
    </xf>
    <xf numFmtId="165" fontId="0" fillId="0" borderId="29" xfId="0" applyNumberFormat="1" applyBorder="1" applyAlignment="1">
      <alignment horizontal="center"/>
    </xf>
    <xf numFmtId="0" fontId="1" fillId="0" borderId="1"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22" fillId="0" borderId="0" xfId="2"/>
    <xf numFmtId="0" fontId="23" fillId="0" borderId="0" xfId="0" applyFont="1"/>
    <xf numFmtId="165" fontId="0" fillId="3" borderId="0" xfId="0" applyNumberForma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21" fillId="0" borderId="0" xfId="0" applyFont="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Alignment="1">
      <alignment horizontal="left"/>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1" fillId="0" borderId="0" xfId="0" quotePrefix="1" applyFont="1" applyAlignment="1">
      <alignment horizontal="center"/>
    </xf>
    <xf numFmtId="0" fontId="1" fillId="0" borderId="0" xfId="0" applyFont="1" applyAlignment="1">
      <alignment horizontal="center"/>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2" fillId="0" borderId="27" xfId="0" applyFont="1" applyBorder="1" applyAlignment="1">
      <alignment horizontal="center"/>
    </xf>
    <xf numFmtId="0" fontId="2" fillId="0" borderId="28" xfId="0" applyFont="1" applyBorder="1" applyAlignment="1">
      <alignment horizontal="center"/>
    </xf>
    <xf numFmtId="0" fontId="1" fillId="3" borderId="0" xfId="0" quotePrefix="1"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24" fillId="0" borderId="0" xfId="0" applyFont="1"/>
    <xf numFmtId="0" fontId="25" fillId="0" borderId="0" xfId="2" applyFont="1"/>
    <xf numFmtId="0" fontId="5" fillId="0" borderId="0" xfId="0" applyFont="1"/>
    <xf numFmtId="169" fontId="0" fillId="0" borderId="0" xfId="0" applyNumberFormat="1"/>
    <xf numFmtId="0" fontId="0" fillId="3" borderId="32" xfId="0" applyFill="1" applyBorder="1"/>
    <xf numFmtId="0" fontId="0" fillId="3" borderId="33" xfId="0" applyFill="1" applyBorder="1"/>
    <xf numFmtId="0" fontId="0" fillId="3" borderId="34" xfId="0" applyFill="1" applyBorder="1"/>
    <xf numFmtId="0" fontId="0" fillId="3" borderId="35" xfId="0" applyFill="1" applyBorder="1"/>
    <xf numFmtId="0" fontId="2" fillId="3" borderId="0" xfId="0" applyFont="1" applyFill="1" applyBorder="1"/>
    <xf numFmtId="0" fontId="0" fillId="3" borderId="36" xfId="0" applyFill="1" applyBorder="1"/>
    <xf numFmtId="0" fontId="0" fillId="3" borderId="37" xfId="0" applyFill="1" applyBorder="1"/>
    <xf numFmtId="0" fontId="0" fillId="3" borderId="15" xfId="0" applyFill="1" applyBorder="1"/>
    <xf numFmtId="0" fontId="0" fillId="3" borderId="38" xfId="0" applyFill="1" applyBorder="1"/>
    <xf numFmtId="0" fontId="0" fillId="4" borderId="0" xfId="0" applyFill="1"/>
    <xf numFmtId="165" fontId="1" fillId="0" borderId="39" xfId="0" applyNumberFormat="1" applyFont="1" applyBorder="1"/>
    <xf numFmtId="0" fontId="1" fillId="0" borderId="40" xfId="0" applyFont="1" applyBorder="1"/>
    <xf numFmtId="0" fontId="1" fillId="0" borderId="0" xfId="0" applyFont="1" applyBorder="1"/>
    <xf numFmtId="0" fontId="1" fillId="3" borderId="0" xfId="0" applyFont="1" applyFill="1" applyAlignment="1">
      <alignment horizontal="right"/>
    </xf>
    <xf numFmtId="0" fontId="1" fillId="3" borderId="0" xfId="0" applyFont="1" applyFill="1"/>
    <xf numFmtId="0" fontId="19" fillId="3" borderId="0" xfId="0" applyFont="1" applyFill="1" applyAlignment="1">
      <alignment horizontal="right"/>
    </xf>
    <xf numFmtId="165" fontId="0" fillId="3" borderId="0" xfId="0" applyNumberFormat="1" applyFill="1" applyAlignment="1">
      <alignment horizontal="right"/>
    </xf>
    <xf numFmtId="165" fontId="0" fillId="4" borderId="0" xfId="0" applyNumberFormat="1" applyFill="1" applyAlignment="1">
      <alignment horizontal="right"/>
    </xf>
    <xf numFmtId="2" fontId="0" fillId="4" borderId="0" xfId="0" applyNumberFormat="1" applyFill="1"/>
    <xf numFmtId="0" fontId="28" fillId="5" borderId="0" xfId="0" applyFont="1" applyFill="1" applyAlignment="1">
      <alignment horizontal="right"/>
    </xf>
    <xf numFmtId="0" fontId="0" fillId="4" borderId="0" xfId="0" applyFill="1" applyAlignment="1">
      <alignment horizontal="right"/>
    </xf>
    <xf numFmtId="0" fontId="19" fillId="0" borderId="0" xfId="0" applyFont="1" applyAlignment="1">
      <alignment horizontal="right"/>
    </xf>
    <xf numFmtId="170" fontId="0" fillId="0" borderId="0" xfId="0" applyNumberFormat="1"/>
    <xf numFmtId="170" fontId="0" fillId="4" borderId="0" xfId="0" applyNumberFormat="1" applyFill="1"/>
    <xf numFmtId="2" fontId="19" fillId="0" borderId="0" xfId="0" applyNumberFormat="1" applyFont="1" applyAlignment="1">
      <alignment horizontal="right"/>
    </xf>
    <xf numFmtId="0" fontId="28" fillId="1" borderId="0" xfId="0" applyFont="1" applyFill="1" applyAlignment="1">
      <alignment horizontal="right"/>
    </xf>
    <xf numFmtId="2" fontId="6" fillId="1" borderId="0" xfId="0" applyNumberFormat="1" applyFont="1" applyFill="1" applyAlignment="1">
      <alignment horizontal="right"/>
    </xf>
    <xf numFmtId="0" fontId="6" fillId="1" borderId="0" xfId="0" applyFont="1" applyFill="1"/>
    <xf numFmtId="2" fontId="19" fillId="0" borderId="0" xfId="0" applyNumberFormat="1" applyFont="1" applyAlignment="1">
      <alignment horizontal="right" vertical="center"/>
    </xf>
    <xf numFmtId="0" fontId="19" fillId="4" borderId="0" xfId="0" applyFont="1" applyFill="1" applyAlignment="1">
      <alignment horizontal="right" vertical="center"/>
    </xf>
    <xf numFmtId="171" fontId="19" fillId="0" borderId="0" xfId="0" applyNumberFormat="1" applyFont="1" applyAlignment="1">
      <alignment horizontal="right" vertical="center"/>
    </xf>
    <xf numFmtId="0" fontId="19" fillId="4" borderId="0" xfId="0" applyFont="1" applyFill="1"/>
    <xf numFmtId="0" fontId="19" fillId="0" borderId="0" xfId="0" applyFont="1"/>
    <xf numFmtId="1" fontId="0" fillId="4" borderId="0" xfId="0" applyNumberFormat="1" applyFill="1"/>
    <xf numFmtId="168" fontId="0" fillId="4" borderId="0" xfId="0" applyNumberFormat="1" applyFill="1"/>
    <xf numFmtId="0" fontId="28" fillId="0" borderId="0" xfId="0" applyFont="1" applyAlignment="1">
      <alignment horizontal="right"/>
    </xf>
    <xf numFmtId="0" fontId="28" fillId="0" borderId="0" xfId="0" applyFont="1"/>
    <xf numFmtId="0" fontId="0" fillId="3" borderId="41" xfId="0" applyFill="1" applyBorder="1"/>
    <xf numFmtId="1" fontId="0" fillId="0" borderId="0" xfId="0" applyNumberFormat="1"/>
    <xf numFmtId="0" fontId="21" fillId="0" borderId="0" xfId="0" applyFont="1"/>
    <xf numFmtId="168" fontId="6" fillId="4" borderId="0" xfId="0" applyNumberFormat="1" applyFont="1" applyFill="1"/>
    <xf numFmtId="166" fontId="0" fillId="0" borderId="0" xfId="0" applyNumberFormat="1"/>
    <xf numFmtId="167" fontId="0" fillId="0" borderId="0" xfId="0" applyNumberFormat="1"/>
    <xf numFmtId="0" fontId="1" fillId="0" borderId="0" xfId="0" applyFont="1" applyAlignment="1">
      <alignment horizontal="right"/>
    </xf>
    <xf numFmtId="164" fontId="6" fillId="0" borderId="0" xfId="0" applyNumberFormat="1" applyFont="1"/>
    <xf numFmtId="0" fontId="30" fillId="0" borderId="0" xfId="0" applyFont="1"/>
    <xf numFmtId="164" fontId="0" fillId="4" borderId="0" xfId="0" applyNumberFormat="1" applyFill="1"/>
    <xf numFmtId="171" fontId="0" fillId="0" borderId="0" xfId="0" applyNumberFormat="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'Processing Ivanek Feed Imped'!$S$45</c:f>
              <c:strCache>
                <c:ptCount val="1"/>
                <c:pt idx="0">
                  <c:v>ABS(B)</c:v>
                </c:pt>
              </c:strCache>
            </c:strRef>
          </c:tx>
          <c:spPr>
            <a:ln w="28575">
              <a:noFill/>
            </a:ln>
          </c:spPr>
          <c:xVal>
            <c:numRef>
              <c:f>'Processing Ivanek Feed Imped'!$R$46:$R$60</c:f>
              <c:numCache>
                <c:formatCode>General</c:formatCode>
                <c:ptCount val="15"/>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3000</c:v>
                </c:pt>
                <c:pt idx="14">
                  <c:v>5000</c:v>
                </c:pt>
              </c:numCache>
            </c:numRef>
          </c:xVal>
          <c:yVal>
            <c:numRef>
              <c:f>'Processing Ivanek Feed Imped'!$S$46:$S$60</c:f>
              <c:numCache>
                <c:formatCode>General</c:formatCode>
                <c:ptCount val="15"/>
                <c:pt idx="0">
                  <c:v>25.435741527327679</c:v>
                </c:pt>
                <c:pt idx="1">
                  <c:v>23.577352448716102</c:v>
                </c:pt>
                <c:pt idx="2">
                  <c:v>23.193843344186369</c:v>
                </c:pt>
                <c:pt idx="3">
                  <c:v>22.864770561317087</c:v>
                </c:pt>
                <c:pt idx="4">
                  <c:v>22.678119699344311</c:v>
                </c:pt>
                <c:pt idx="5">
                  <c:v>22.593329960576625</c:v>
                </c:pt>
                <c:pt idx="6">
                  <c:v>22.36165018866161</c:v>
                </c:pt>
                <c:pt idx="7">
                  <c:v>22.141504229596855</c:v>
                </c:pt>
                <c:pt idx="8">
                  <c:v>22.00646985387219</c:v>
                </c:pt>
                <c:pt idx="9">
                  <c:v>21.759714590865475</c:v>
                </c:pt>
                <c:pt idx="10">
                  <c:v>21.19627009317125</c:v>
                </c:pt>
                <c:pt idx="11">
                  <c:v>20.363179096616751</c:v>
                </c:pt>
                <c:pt idx="12">
                  <c:v>20.021622561723767</c:v>
                </c:pt>
                <c:pt idx="13">
                  <c:v>20.776794220869832</c:v>
                </c:pt>
                <c:pt idx="14">
                  <c:v>18.031759797862243</c:v>
                </c:pt>
              </c:numCache>
            </c:numRef>
          </c:yVal>
          <c:smooth val="0"/>
        </c:ser>
        <c:dLbls>
          <c:showLegendKey val="0"/>
          <c:showVal val="0"/>
          <c:showCatName val="0"/>
          <c:showSerName val="0"/>
          <c:showPercent val="0"/>
          <c:showBubbleSize val="0"/>
        </c:dLbls>
        <c:axId val="111867008"/>
        <c:axId val="111868544"/>
      </c:scatterChart>
      <c:valAx>
        <c:axId val="111867008"/>
        <c:scaling>
          <c:orientation val="minMax"/>
        </c:scaling>
        <c:delete val="0"/>
        <c:axPos val="b"/>
        <c:numFmt formatCode="General" sourceLinked="1"/>
        <c:majorTickMark val="out"/>
        <c:minorTickMark val="none"/>
        <c:tickLblPos val="nextTo"/>
        <c:crossAx val="111868544"/>
        <c:crosses val="autoZero"/>
        <c:crossBetween val="midCat"/>
      </c:valAx>
      <c:valAx>
        <c:axId val="111868544"/>
        <c:scaling>
          <c:orientation val="minMax"/>
        </c:scaling>
        <c:delete val="0"/>
        <c:axPos val="l"/>
        <c:majorGridlines/>
        <c:numFmt formatCode="General" sourceLinked="1"/>
        <c:majorTickMark val="out"/>
        <c:minorTickMark val="none"/>
        <c:tickLblPos val="nextTo"/>
        <c:crossAx val="111867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3840769903762"/>
          <c:y val="5.1400554097404488E-2"/>
          <c:w val="0.82545494313210843"/>
          <c:h val="0.79558253135024792"/>
        </c:manualLayout>
      </c:layout>
      <c:scatterChart>
        <c:scatterStyle val="smoothMarker"/>
        <c:varyColors val="0"/>
        <c:ser>
          <c:idx val="1"/>
          <c:order val="0"/>
          <c:tx>
            <c:strRef>
              <c:f>'Ballast Model USE THIS'!$G$49</c:f>
              <c:strCache>
                <c:ptCount val="1"/>
                <c:pt idx="0">
                  <c:v>Filtered-B-true</c:v>
                </c:pt>
              </c:strCache>
            </c:strRef>
          </c:tx>
          <c:xVal>
            <c:numRef>
              <c:f>'Ballast Model USE THIS'!$E$50:$E$61</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THIS'!$G$50:$G$61</c:f>
              <c:numCache>
                <c:formatCode>General</c:formatCode>
                <c:ptCount val="12"/>
                <c:pt idx="0">
                  <c:v>6.9577059793284501</c:v>
                </c:pt>
                <c:pt idx="1">
                  <c:v>6.9202410175336002</c:v>
                </c:pt>
                <c:pt idx="2">
                  <c:v>6.8833101392789002</c:v>
                </c:pt>
                <c:pt idx="3">
                  <c:v>6.8470103521378798</c:v>
                </c:pt>
                <c:pt idx="4">
                  <c:v>6.8114222223244996</c:v>
                </c:pt>
                <c:pt idx="5">
                  <c:v>6.7766117909248003</c:v>
                </c:pt>
                <c:pt idx="6">
                  <c:v>6.7426322906258402</c:v>
                </c:pt>
                <c:pt idx="7">
                  <c:v>6.6773240325836101</c:v>
                </c:pt>
                <c:pt idx="8">
                  <c:v>6.6460507388692296</c:v>
                </c:pt>
                <c:pt idx="9">
                  <c:v>6.6157216325129404</c:v>
                </c:pt>
                <c:pt idx="10">
                  <c:v>6.4071685376218896</c:v>
                </c:pt>
                <c:pt idx="11">
                  <c:v>6.1047259844789901</c:v>
                </c:pt>
              </c:numCache>
            </c:numRef>
          </c:yVal>
          <c:smooth val="1"/>
        </c:ser>
        <c:ser>
          <c:idx val="2"/>
          <c:order val="1"/>
          <c:tx>
            <c:strRef>
              <c:f>'Ballast Model USE THIS'!$H$49</c:f>
              <c:strCache>
                <c:ptCount val="1"/>
                <c:pt idx="0">
                  <c:v>Equiv-Circuit</c:v>
                </c:pt>
              </c:strCache>
            </c:strRef>
          </c:tx>
          <c:xVal>
            <c:numRef>
              <c:f>'Ballast Model USE THIS'!$E$50:$E$61</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THIS'!$H$50:$H$61</c:f>
              <c:numCache>
                <c:formatCode>General</c:formatCode>
                <c:ptCount val="12"/>
                <c:pt idx="0">
                  <c:v>7.3021487529396802</c:v>
                </c:pt>
                <c:pt idx="1">
                  <c:v>7.0659423329034903</c:v>
                </c:pt>
                <c:pt idx="2">
                  <c:v>6.9113486416960104</c:v>
                </c:pt>
                <c:pt idx="3">
                  <c:v>6.8255954363758997</c:v>
                </c:pt>
                <c:pt idx="4">
                  <c:v>6.81029424440821</c:v>
                </c:pt>
                <c:pt idx="5">
                  <c:v>6.7834867732767101</c:v>
                </c:pt>
                <c:pt idx="6">
                  <c:v>6.7404728348657903</c:v>
                </c:pt>
                <c:pt idx="7">
                  <c:v>6.6550961580982699</c:v>
                </c:pt>
                <c:pt idx="8">
                  <c:v>6.6320984245616899</c:v>
                </c:pt>
                <c:pt idx="9">
                  <c:v>6.5845050132708298</c:v>
                </c:pt>
                <c:pt idx="10">
                  <c:v>6.4923632403340301</c:v>
                </c:pt>
                <c:pt idx="11">
                  <c:v>6.4186639092951099</c:v>
                </c:pt>
              </c:numCache>
            </c:numRef>
          </c:yVal>
          <c:smooth val="1"/>
        </c:ser>
        <c:dLbls>
          <c:showLegendKey val="0"/>
          <c:showVal val="0"/>
          <c:showCatName val="0"/>
          <c:showSerName val="0"/>
          <c:showPercent val="0"/>
          <c:showBubbleSize val="0"/>
        </c:dLbls>
        <c:axId val="114434816"/>
        <c:axId val="114436736"/>
      </c:scatterChart>
      <c:valAx>
        <c:axId val="114434816"/>
        <c:scaling>
          <c:orientation val="minMax"/>
          <c:max val="1000"/>
        </c:scaling>
        <c:delete val="0"/>
        <c:axPos val="b"/>
        <c:title>
          <c:tx>
            <c:rich>
              <a:bodyPr/>
              <a:lstStyle/>
              <a:p>
                <a:pPr>
                  <a:defRPr/>
                </a:pPr>
                <a:r>
                  <a:rPr lang="en-US"/>
                  <a:t>Frequency, Hz</a:t>
                </a:r>
              </a:p>
            </c:rich>
          </c:tx>
          <c:layout/>
          <c:overlay val="0"/>
        </c:title>
        <c:numFmt formatCode="General" sourceLinked="1"/>
        <c:majorTickMark val="out"/>
        <c:minorTickMark val="none"/>
        <c:tickLblPos val="nextTo"/>
        <c:crossAx val="114436736"/>
        <c:crosses val="autoZero"/>
        <c:crossBetween val="midCat"/>
      </c:valAx>
      <c:valAx>
        <c:axId val="114436736"/>
        <c:scaling>
          <c:orientation val="minMax"/>
          <c:min val="0"/>
        </c:scaling>
        <c:delete val="0"/>
        <c:axPos val="l"/>
        <c:majorGridlines/>
        <c:title>
          <c:tx>
            <c:rich>
              <a:bodyPr rot="-5400000" vert="horz"/>
              <a:lstStyle/>
              <a:p>
                <a:pPr>
                  <a:defRPr/>
                </a:pPr>
                <a:r>
                  <a:rPr lang="en-US"/>
                  <a:t>Real Component</a:t>
                </a:r>
                <a:r>
                  <a:rPr lang="en-US" baseline="0"/>
                  <a:t> of Impedance, </a:t>
                </a:r>
                <a:r>
                  <a:rPr lang="el-GR" baseline="0">
                    <a:latin typeface="Calibri"/>
                  </a:rPr>
                  <a:t>Ω</a:t>
                </a:r>
                <a:endParaRPr lang="en-US"/>
              </a:p>
            </c:rich>
          </c:tx>
          <c:layout/>
          <c:overlay val="0"/>
        </c:title>
        <c:numFmt formatCode="General" sourceLinked="1"/>
        <c:majorTickMark val="out"/>
        <c:minorTickMark val="none"/>
        <c:tickLblPos val="nextTo"/>
        <c:crossAx val="114434816"/>
        <c:crosses val="autoZero"/>
        <c:crossBetween val="midCat"/>
      </c:valAx>
    </c:plotArea>
    <c:legend>
      <c:legendPos val="r"/>
      <c:layout>
        <c:manualLayout>
          <c:xMode val="edge"/>
          <c:yMode val="edge"/>
          <c:x val="0.39001170678512442"/>
          <c:y val="0.39766755959628758"/>
          <c:w val="0.27389020122484692"/>
          <c:h val="0.17325937350614676"/>
        </c:manualLayout>
      </c:layout>
      <c:overlay val="0"/>
      <c:spPr>
        <a:solidFill>
          <a:schemeClr val="bg1"/>
        </a:solidFill>
        <a:ln>
          <a:solidFill>
            <a:schemeClr val="accent1"/>
          </a:solidFill>
        </a:ln>
      </c:spPr>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89129483814523"/>
          <c:y val="7.8797684536008342E-2"/>
          <c:w val="0.80157983377077868"/>
          <c:h val="0.78632327209098862"/>
        </c:manualLayout>
      </c:layout>
      <c:scatterChart>
        <c:scatterStyle val="smoothMarker"/>
        <c:varyColors val="0"/>
        <c:ser>
          <c:idx val="1"/>
          <c:order val="0"/>
          <c:tx>
            <c:strRef>
              <c:f>'Ballast Model USE THIS'!$G$65</c:f>
              <c:strCache>
                <c:ptCount val="1"/>
                <c:pt idx="0">
                  <c:v>Filtered-B-true</c:v>
                </c:pt>
              </c:strCache>
            </c:strRef>
          </c:tx>
          <c:xVal>
            <c:numRef>
              <c:f>'Ballast Model USE THIS'!$E$66:$E$77</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THIS'!$G$66:$G$77</c:f>
              <c:numCache>
                <c:formatCode>General</c:formatCode>
                <c:ptCount val="12"/>
                <c:pt idx="0">
                  <c:v>1.00120260305679</c:v>
                </c:pt>
                <c:pt idx="1">
                  <c:v>0.95237337591432603</c:v>
                </c:pt>
                <c:pt idx="2">
                  <c:v>0.90592557828078701</c:v>
                </c:pt>
                <c:pt idx="3">
                  <c:v>0.86174306646850996</c:v>
                </c:pt>
                <c:pt idx="4">
                  <c:v>0.81971536118432098</c:v>
                </c:pt>
                <c:pt idx="5">
                  <c:v>0.77973737127375597</c:v>
                </c:pt>
                <c:pt idx="6">
                  <c:v>0.74170913093843505</c:v>
                </c:pt>
                <c:pt idx="7">
                  <c:v>0.67112617497202898</c:v>
                </c:pt>
                <c:pt idx="8">
                  <c:v>0.63839496518600802</c:v>
                </c:pt>
                <c:pt idx="9">
                  <c:v>0.60726007533804005</c:v>
                </c:pt>
                <c:pt idx="10">
                  <c:v>0.407058601656201</c:v>
                </c:pt>
                <c:pt idx="11">
                  <c:v>0.14974849090131201</c:v>
                </c:pt>
              </c:numCache>
            </c:numRef>
          </c:yVal>
          <c:smooth val="1"/>
        </c:ser>
        <c:ser>
          <c:idx val="2"/>
          <c:order val="1"/>
          <c:tx>
            <c:strRef>
              <c:f>'Ballast Model USE THIS'!$H$65</c:f>
              <c:strCache>
                <c:ptCount val="1"/>
                <c:pt idx="0">
                  <c:v>Equiv-Circuit</c:v>
                </c:pt>
              </c:strCache>
            </c:strRef>
          </c:tx>
          <c:xVal>
            <c:numRef>
              <c:f>'Ballast Model USE THIS'!$E$66:$E$77</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THIS'!$H$66:$H$77</c:f>
              <c:numCache>
                <c:formatCode>General</c:formatCode>
                <c:ptCount val="12"/>
                <c:pt idx="0">
                  <c:v>1.0361930049669099</c:v>
                </c:pt>
                <c:pt idx="1">
                  <c:v>0.97297807301301098</c:v>
                </c:pt>
                <c:pt idx="2">
                  <c:v>0.89618365367018304</c:v>
                </c:pt>
                <c:pt idx="3">
                  <c:v>0.838398621064535</c:v>
                </c:pt>
                <c:pt idx="4">
                  <c:v>0.82672918817358199</c:v>
                </c:pt>
                <c:pt idx="5">
                  <c:v>0.80517657522343</c:v>
                </c:pt>
                <c:pt idx="6">
                  <c:v>0.76737933543818104</c:v>
                </c:pt>
                <c:pt idx="7">
                  <c:v>0.67818344671199104</c:v>
                </c:pt>
                <c:pt idx="8">
                  <c:v>0.65016044017257701</c:v>
                </c:pt>
                <c:pt idx="9">
                  <c:v>0.58507615673773194</c:v>
                </c:pt>
                <c:pt idx="10">
                  <c:v>0.416885311047694</c:v>
                </c:pt>
                <c:pt idx="11">
                  <c:v>0.16364642233078799</c:v>
                </c:pt>
              </c:numCache>
            </c:numRef>
          </c:yVal>
          <c:smooth val="1"/>
        </c:ser>
        <c:dLbls>
          <c:showLegendKey val="0"/>
          <c:showVal val="0"/>
          <c:showCatName val="0"/>
          <c:showSerName val="0"/>
          <c:showPercent val="0"/>
          <c:showBubbleSize val="0"/>
        </c:dLbls>
        <c:axId val="114453888"/>
        <c:axId val="114472448"/>
      </c:scatterChart>
      <c:valAx>
        <c:axId val="114453888"/>
        <c:scaling>
          <c:orientation val="minMax"/>
          <c:max val="1000"/>
        </c:scaling>
        <c:delete val="0"/>
        <c:axPos val="b"/>
        <c:title>
          <c:tx>
            <c:rich>
              <a:bodyPr/>
              <a:lstStyle/>
              <a:p>
                <a:pPr>
                  <a:defRPr/>
                </a:pPr>
                <a:r>
                  <a:rPr lang="en-US"/>
                  <a:t>Frequency, Hz</a:t>
                </a:r>
              </a:p>
            </c:rich>
          </c:tx>
          <c:layout/>
          <c:overlay val="0"/>
        </c:title>
        <c:numFmt formatCode="General" sourceLinked="1"/>
        <c:majorTickMark val="out"/>
        <c:minorTickMark val="none"/>
        <c:tickLblPos val="nextTo"/>
        <c:crossAx val="114472448"/>
        <c:crosses val="autoZero"/>
        <c:crossBetween val="midCat"/>
      </c:valAx>
      <c:valAx>
        <c:axId val="114472448"/>
        <c:scaling>
          <c:orientation val="minMax"/>
        </c:scaling>
        <c:delete val="0"/>
        <c:axPos val="l"/>
        <c:majorGridlines/>
        <c:title>
          <c:tx>
            <c:rich>
              <a:bodyPr rot="-5400000" vert="horz"/>
              <a:lstStyle/>
              <a:p>
                <a:pPr>
                  <a:defRPr/>
                </a:pPr>
                <a:r>
                  <a:rPr lang="en-US"/>
                  <a:t>Imaginary Component of Impedance, </a:t>
                </a:r>
                <a:r>
                  <a:rPr lang="el-GR"/>
                  <a:t>Ω</a:t>
                </a:r>
              </a:p>
            </c:rich>
          </c:tx>
          <c:layout>
            <c:manualLayout>
              <c:xMode val="edge"/>
              <c:yMode val="edge"/>
              <c:x val="1.0541557305336832E-2"/>
              <c:y val="0.12076589384660251"/>
            </c:manualLayout>
          </c:layout>
          <c:overlay val="0"/>
        </c:title>
        <c:numFmt formatCode="General" sourceLinked="1"/>
        <c:majorTickMark val="out"/>
        <c:minorTickMark val="none"/>
        <c:tickLblPos val="nextTo"/>
        <c:crossAx val="114453888"/>
        <c:crosses val="autoZero"/>
        <c:crossBetween val="midCat"/>
      </c:valAx>
    </c:plotArea>
    <c:legend>
      <c:legendPos val="r"/>
      <c:layout>
        <c:manualLayout>
          <c:xMode val="edge"/>
          <c:yMode val="edge"/>
          <c:x val="0.51986001749781274"/>
          <c:y val="0.19310753963973681"/>
          <c:w val="0.27389020122484692"/>
          <c:h val="0.15982741883291987"/>
        </c:manualLayout>
      </c:layout>
      <c:overlay val="0"/>
      <c:spPr>
        <a:solidFill>
          <a:schemeClr val="bg1"/>
        </a:solidFill>
        <a:ln>
          <a:solidFill>
            <a:schemeClr val="accent1"/>
          </a:solidFill>
        </a:ln>
      </c:spPr>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07174103237096E-2"/>
          <c:y val="5.1400554097404488E-2"/>
          <c:w val="0.81848381452318464"/>
          <c:h val="0.89719889180519097"/>
        </c:manualLayout>
      </c:layout>
      <c:scatterChart>
        <c:scatterStyle val="smoothMarker"/>
        <c:varyColors val="0"/>
        <c:ser>
          <c:idx val="0"/>
          <c:order val="0"/>
          <c:tx>
            <c:strRef>
              <c:f>'Ballast Model USE THIS'!$J$32</c:f>
              <c:strCache>
                <c:ptCount val="1"/>
                <c:pt idx="0">
                  <c:v>µF</c:v>
                </c:pt>
              </c:strCache>
            </c:strRef>
          </c:tx>
          <c:xVal>
            <c:numRef>
              <c:f>'Ballast Model USE THIS'!$I$33:$I$44</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THIS'!$J$33:$J$44</c:f>
              <c:numCache>
                <c:formatCode>General</c:formatCode>
                <c:ptCount val="12"/>
                <c:pt idx="0">
                  <c:v>105</c:v>
                </c:pt>
                <c:pt idx="1">
                  <c:v>88</c:v>
                </c:pt>
                <c:pt idx="2">
                  <c:v>78</c:v>
                </c:pt>
                <c:pt idx="3">
                  <c:v>69</c:v>
                </c:pt>
                <c:pt idx="4">
                  <c:v>58</c:v>
                </c:pt>
                <c:pt idx="5">
                  <c:v>51</c:v>
                </c:pt>
                <c:pt idx="6">
                  <c:v>47</c:v>
                </c:pt>
                <c:pt idx="7">
                  <c:v>31</c:v>
                </c:pt>
                <c:pt idx="8">
                  <c:v>21</c:v>
                </c:pt>
                <c:pt idx="9">
                  <c:v>16</c:v>
                </c:pt>
                <c:pt idx="10">
                  <c:v>1.1100000000000001</c:v>
                </c:pt>
                <c:pt idx="11">
                  <c:v>0.23</c:v>
                </c:pt>
              </c:numCache>
            </c:numRef>
          </c:yVal>
          <c:smooth val="1"/>
        </c:ser>
        <c:ser>
          <c:idx val="1"/>
          <c:order val="1"/>
          <c:tx>
            <c:strRef>
              <c:f>'Ballast Model USE THIS'!$K$32</c:f>
              <c:strCache>
                <c:ptCount val="1"/>
                <c:pt idx="0">
                  <c:v>mH</c:v>
                </c:pt>
              </c:strCache>
            </c:strRef>
          </c:tx>
          <c:xVal>
            <c:numRef>
              <c:f>'Ballast Model USE THIS'!$I$33:$I$44</c:f>
              <c:numCache>
                <c:formatCode>General</c:formatCode>
                <c:ptCount val="12"/>
                <c:pt idx="0">
                  <c:v>50</c:v>
                </c:pt>
                <c:pt idx="1">
                  <c:v>75</c:v>
                </c:pt>
                <c:pt idx="2">
                  <c:v>100</c:v>
                </c:pt>
                <c:pt idx="3">
                  <c:v>125</c:v>
                </c:pt>
                <c:pt idx="4">
                  <c:v>150</c:v>
                </c:pt>
                <c:pt idx="5">
                  <c:v>175</c:v>
                </c:pt>
                <c:pt idx="6">
                  <c:v>200</c:v>
                </c:pt>
                <c:pt idx="7">
                  <c:v>250</c:v>
                </c:pt>
                <c:pt idx="8">
                  <c:v>275</c:v>
                </c:pt>
                <c:pt idx="9">
                  <c:v>300</c:v>
                </c:pt>
                <c:pt idx="10">
                  <c:v>500</c:v>
                </c:pt>
                <c:pt idx="11">
                  <c:v>1000</c:v>
                </c:pt>
              </c:numCache>
            </c:numRef>
          </c:xVal>
          <c:yVal>
            <c:numRef>
              <c:f>'Ballast Model USE THIS'!$K$33:$K$44</c:f>
              <c:numCache>
                <c:formatCode>General</c:formatCode>
                <c:ptCount val="12"/>
                <c:pt idx="0">
                  <c:v>1.5</c:v>
                </c:pt>
                <c:pt idx="1">
                  <c:v>1.5</c:v>
                </c:pt>
                <c:pt idx="2">
                  <c:v>1.5</c:v>
                </c:pt>
                <c:pt idx="3">
                  <c:v>1.5</c:v>
                </c:pt>
                <c:pt idx="4">
                  <c:v>1.5</c:v>
                </c:pt>
                <c:pt idx="5">
                  <c:v>1.5</c:v>
                </c:pt>
                <c:pt idx="6">
                  <c:v>1.5</c:v>
                </c:pt>
                <c:pt idx="7">
                  <c:v>5</c:v>
                </c:pt>
                <c:pt idx="8">
                  <c:v>9</c:v>
                </c:pt>
                <c:pt idx="9">
                  <c:v>12</c:v>
                </c:pt>
                <c:pt idx="10">
                  <c:v>89</c:v>
                </c:pt>
                <c:pt idx="11">
                  <c:v>109.7</c:v>
                </c:pt>
              </c:numCache>
            </c:numRef>
          </c:yVal>
          <c:smooth val="1"/>
        </c:ser>
        <c:dLbls>
          <c:showLegendKey val="0"/>
          <c:showVal val="0"/>
          <c:showCatName val="0"/>
          <c:showSerName val="0"/>
          <c:showPercent val="0"/>
          <c:showBubbleSize val="0"/>
        </c:dLbls>
        <c:axId val="114498560"/>
        <c:axId val="114508544"/>
      </c:scatterChart>
      <c:valAx>
        <c:axId val="114498560"/>
        <c:scaling>
          <c:orientation val="minMax"/>
          <c:max val="1000"/>
        </c:scaling>
        <c:delete val="0"/>
        <c:axPos val="b"/>
        <c:numFmt formatCode="General" sourceLinked="1"/>
        <c:majorTickMark val="out"/>
        <c:minorTickMark val="none"/>
        <c:tickLblPos val="nextTo"/>
        <c:crossAx val="114508544"/>
        <c:crosses val="autoZero"/>
        <c:crossBetween val="midCat"/>
      </c:valAx>
      <c:valAx>
        <c:axId val="114508544"/>
        <c:scaling>
          <c:orientation val="minMax"/>
        </c:scaling>
        <c:delete val="0"/>
        <c:axPos val="l"/>
        <c:majorGridlines/>
        <c:numFmt formatCode="General" sourceLinked="1"/>
        <c:majorTickMark val="out"/>
        <c:minorTickMark val="none"/>
        <c:tickLblPos val="nextTo"/>
        <c:crossAx val="114498560"/>
        <c:crosses val="autoZero"/>
        <c:crossBetween val="midCat"/>
      </c:valAx>
    </c:plotArea>
    <c:legend>
      <c:legendPos val="r"/>
      <c:layout>
        <c:manualLayout>
          <c:xMode val="edge"/>
          <c:yMode val="edge"/>
          <c:x val="0.65494444444444444"/>
          <c:y val="0.30980132691746864"/>
          <c:w val="0.14752799650043744"/>
          <c:h val="0.23458005249343833"/>
        </c:manualLayout>
      </c:layout>
      <c:overlay val="0"/>
      <c:spPr>
        <a:solidFill>
          <a:schemeClr val="bg1"/>
        </a:solidFill>
        <a:ln>
          <a:solidFill>
            <a:schemeClr val="accent1">
              <a:shade val="95000"/>
              <a:satMod val="105000"/>
            </a:schemeClr>
          </a:solidFill>
        </a:ln>
      </c:spPr>
      <c:txPr>
        <a:bodyPr/>
        <a:lstStyle/>
        <a:p>
          <a:pPr>
            <a:defRPr sz="1600" b="1"/>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'PAYNE Equations'!$I$10</c:f>
              <c:strCache>
                <c:ptCount val="1"/>
                <c:pt idx="0">
                  <c:v>µRT</c:v>
                </c:pt>
              </c:strCache>
            </c:strRef>
          </c:tx>
          <c:marker>
            <c:symbol val="none"/>
          </c:marker>
          <c:xVal>
            <c:numRef>
              <c:f>'PAYNE Equations'!$J$9:$W$9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Equations'!$J$10:$W$10</c:f>
              <c:numCache>
                <c:formatCode>0.000</c:formatCode>
                <c:ptCount val="14"/>
                <c:pt idx="0">
                  <c:v>1.1254880223583907</c:v>
                </c:pt>
                <c:pt idx="1">
                  <c:v>1.1821654273288376</c:v>
                </c:pt>
                <c:pt idx="2">
                  <c:v>1.138421223560518</c:v>
                </c:pt>
                <c:pt idx="3">
                  <c:v>1.1136093593798906</c:v>
                </c:pt>
                <c:pt idx="4">
                  <c:v>1.150146883030261</c:v>
                </c:pt>
                <c:pt idx="5">
                  <c:v>1.1757555304701706</c:v>
                </c:pt>
                <c:pt idx="6">
                  <c:v>1.1386856004625725</c:v>
                </c:pt>
                <c:pt idx="7">
                  <c:v>1.145546172748882</c:v>
                </c:pt>
                <c:pt idx="8">
                  <c:v>1.1106031254456252</c:v>
                </c:pt>
                <c:pt idx="9">
                  <c:v>1.1319279375792155</c:v>
                </c:pt>
                <c:pt idx="10">
                  <c:v>1.1274155058443647</c:v>
                </c:pt>
                <c:pt idx="11">
                  <c:v>1.1064580901663079</c:v>
                </c:pt>
                <c:pt idx="12">
                  <c:v>1.1356838214064133</c:v>
                </c:pt>
                <c:pt idx="13">
                  <c:v>1.0870797498737306</c:v>
                </c:pt>
              </c:numCache>
            </c:numRef>
          </c:yVal>
          <c:smooth val="1"/>
        </c:ser>
        <c:dLbls>
          <c:showLegendKey val="0"/>
          <c:showVal val="0"/>
          <c:showCatName val="0"/>
          <c:showSerName val="0"/>
          <c:showPercent val="0"/>
          <c:showBubbleSize val="0"/>
        </c:dLbls>
        <c:axId val="132214784"/>
        <c:axId val="132216320"/>
      </c:scatterChart>
      <c:valAx>
        <c:axId val="132214784"/>
        <c:scaling>
          <c:orientation val="minMax"/>
          <c:max val="5000"/>
        </c:scaling>
        <c:delete val="0"/>
        <c:axPos val="b"/>
        <c:numFmt formatCode="General" sourceLinked="1"/>
        <c:majorTickMark val="out"/>
        <c:minorTickMark val="none"/>
        <c:tickLblPos val="nextTo"/>
        <c:crossAx val="132216320"/>
        <c:crosses val="autoZero"/>
        <c:crossBetween val="midCat"/>
      </c:valAx>
      <c:valAx>
        <c:axId val="132216320"/>
        <c:scaling>
          <c:orientation val="minMax"/>
          <c:min val="0"/>
        </c:scaling>
        <c:delete val="0"/>
        <c:axPos val="l"/>
        <c:majorGridlines/>
        <c:numFmt formatCode="0.000" sourceLinked="1"/>
        <c:majorTickMark val="out"/>
        <c:minorTickMark val="none"/>
        <c:tickLblPos val="nextTo"/>
        <c:crossAx val="1322147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00240594925637"/>
          <c:y val="0.10884384132834457"/>
          <c:w val="0.71503915135608054"/>
          <c:h val="0.68760224120921065"/>
        </c:manualLayout>
      </c:layout>
      <c:scatterChart>
        <c:scatterStyle val="smoothMarker"/>
        <c:varyColors val="0"/>
        <c:ser>
          <c:idx val="0"/>
          <c:order val="0"/>
          <c:tx>
            <c:strRef>
              <c:f>'PAYNE Equations'!$I$10</c:f>
              <c:strCache>
                <c:ptCount val="1"/>
                <c:pt idx="0">
                  <c:v>µRT</c:v>
                </c:pt>
              </c:strCache>
            </c:strRef>
          </c:tx>
          <c:xVal>
            <c:numRef>
              <c:f>'PAYNE Equations'!$J$9:$W$9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Equations'!$J$10:$W$10</c:f>
              <c:numCache>
                <c:formatCode>0.000</c:formatCode>
                <c:ptCount val="14"/>
                <c:pt idx="0">
                  <c:v>1.1254880223583907</c:v>
                </c:pt>
                <c:pt idx="1">
                  <c:v>1.1821654273288376</c:v>
                </c:pt>
                <c:pt idx="2">
                  <c:v>1.138421223560518</c:v>
                </c:pt>
                <c:pt idx="3">
                  <c:v>1.1136093593798906</c:v>
                </c:pt>
                <c:pt idx="4">
                  <c:v>1.150146883030261</c:v>
                </c:pt>
                <c:pt idx="5">
                  <c:v>1.1757555304701706</c:v>
                </c:pt>
                <c:pt idx="6">
                  <c:v>1.1386856004625725</c:v>
                </c:pt>
                <c:pt idx="7">
                  <c:v>1.145546172748882</c:v>
                </c:pt>
                <c:pt idx="8">
                  <c:v>1.1106031254456252</c:v>
                </c:pt>
                <c:pt idx="9">
                  <c:v>1.1319279375792155</c:v>
                </c:pt>
                <c:pt idx="10">
                  <c:v>1.1274155058443647</c:v>
                </c:pt>
                <c:pt idx="11">
                  <c:v>1.1064580901663079</c:v>
                </c:pt>
                <c:pt idx="12">
                  <c:v>1.1356838214064133</c:v>
                </c:pt>
                <c:pt idx="13">
                  <c:v>1.0870797498737306</c:v>
                </c:pt>
              </c:numCache>
            </c:numRef>
          </c:yVal>
          <c:smooth val="1"/>
        </c:ser>
        <c:dLbls>
          <c:showLegendKey val="0"/>
          <c:showVal val="0"/>
          <c:showCatName val="0"/>
          <c:showSerName val="0"/>
          <c:showPercent val="0"/>
          <c:showBubbleSize val="0"/>
        </c:dLbls>
        <c:axId val="132240896"/>
        <c:axId val="132242816"/>
      </c:scatterChart>
      <c:valAx>
        <c:axId val="132240896"/>
        <c:scaling>
          <c:orientation val="minMax"/>
          <c:max val="1000"/>
        </c:scaling>
        <c:delete val="0"/>
        <c:axPos val="b"/>
        <c:title>
          <c:tx>
            <c:rich>
              <a:bodyPr/>
              <a:lstStyle/>
              <a:p>
                <a:pPr>
                  <a:defRPr/>
                </a:pPr>
                <a:r>
                  <a:rPr lang="en-US"/>
                  <a:t>Frequency</a:t>
                </a:r>
                <a:r>
                  <a:rPr lang="en-US" baseline="0"/>
                  <a:t> (Hz)</a:t>
                </a:r>
                <a:endParaRPr lang="en-US"/>
              </a:p>
            </c:rich>
          </c:tx>
          <c:layout/>
          <c:overlay val="0"/>
        </c:title>
        <c:numFmt formatCode="General" sourceLinked="1"/>
        <c:majorTickMark val="out"/>
        <c:minorTickMark val="none"/>
        <c:tickLblPos val="nextTo"/>
        <c:crossAx val="132242816"/>
        <c:crosses val="autoZero"/>
        <c:crossBetween val="midCat"/>
      </c:valAx>
      <c:valAx>
        <c:axId val="132242816"/>
        <c:scaling>
          <c:orientation val="minMax"/>
          <c:min val="0"/>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a:t>Ballast</a:t>
                </a:r>
                <a:r>
                  <a:rPr lang="en-US" baseline="0"/>
                  <a:t> Relative </a:t>
                </a:r>
                <a:r>
                  <a:rPr lang="en-US" sz="900" baseline="0"/>
                  <a:t>Permeability </a:t>
                </a:r>
                <a:r>
                  <a:rPr lang="en-US" sz="900" b="1" i="0" baseline="0">
                    <a:effectLst/>
                  </a:rPr>
                  <a:t>µ</a:t>
                </a:r>
                <a:r>
                  <a:rPr lang="en-US" sz="900" b="1" i="0" baseline="-25000">
                    <a:effectLst/>
                  </a:rPr>
                  <a:t>RT</a:t>
                </a:r>
                <a:endParaRPr lang="en-US" sz="900" baseline="-2500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endParaRPr lang="en-US"/>
              </a:p>
            </c:rich>
          </c:tx>
          <c:layout>
            <c:manualLayout>
              <c:xMode val="edge"/>
              <c:yMode val="edge"/>
              <c:x val="4.1652668416447942E-2"/>
              <c:y val="0.1617583440367826"/>
            </c:manualLayout>
          </c:layout>
          <c:overlay val="0"/>
        </c:title>
        <c:numFmt formatCode="0.0" sourceLinked="0"/>
        <c:majorTickMark val="out"/>
        <c:minorTickMark val="none"/>
        <c:tickLblPos val="nextTo"/>
        <c:crossAx val="132240896"/>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2125240594925635"/>
          <c:y val="5.1400554097404488E-2"/>
          <c:w val="0.81205314960629926"/>
          <c:h val="0.8326195683872849"/>
        </c:manualLayout>
      </c:layout>
      <c:scatterChart>
        <c:scatterStyle val="smoothMarker"/>
        <c:varyColors val="0"/>
        <c:ser>
          <c:idx val="1"/>
          <c:order val="0"/>
          <c:tx>
            <c:strRef>
              <c:f>'PAYNE Equations'!$I$11</c:f>
              <c:strCache>
                <c:ptCount val="1"/>
                <c:pt idx="0">
                  <c:v>µ'/ µ" WTG</c:v>
                </c:pt>
              </c:strCache>
            </c:strRef>
          </c:tx>
          <c:xVal>
            <c:numRef>
              <c:f>'PAYNE Equations'!$J$9:$W$9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Equations'!$J$11:$W$11</c:f>
              <c:numCache>
                <c:formatCode>0.00</c:formatCode>
                <c:ptCount val="14"/>
                <c:pt idx="0">
                  <c:v>0.27169932204494823</c:v>
                </c:pt>
                <c:pt idx="1">
                  <c:v>0.64017001713121324</c:v>
                </c:pt>
                <c:pt idx="2">
                  <c:v>0.71677639644403623</c:v>
                </c:pt>
                <c:pt idx="3">
                  <c:v>0.77536429816647312</c:v>
                </c:pt>
                <c:pt idx="4">
                  <c:v>0.79366251490761464</c:v>
                </c:pt>
                <c:pt idx="5">
                  <c:v>0.87734335605311731</c:v>
                </c:pt>
                <c:pt idx="6">
                  <c:v>0.83143928974053627</c:v>
                </c:pt>
                <c:pt idx="7">
                  <c:v>0.85760489645465987</c:v>
                </c:pt>
                <c:pt idx="8">
                  <c:v>0.9235218271643505</c:v>
                </c:pt>
                <c:pt idx="9">
                  <c:v>1.0059009120294582</c:v>
                </c:pt>
                <c:pt idx="10">
                  <c:v>0.90834551131113994</c:v>
                </c:pt>
                <c:pt idx="11">
                  <c:v>0.98666310142597013</c:v>
                </c:pt>
                <c:pt idx="12">
                  <c:v>1.4114230633834908</c:v>
                </c:pt>
                <c:pt idx="13">
                  <c:v>9.0475840201294861</c:v>
                </c:pt>
              </c:numCache>
            </c:numRef>
          </c:yVal>
          <c:smooth val="1"/>
        </c:ser>
        <c:dLbls>
          <c:showLegendKey val="0"/>
          <c:showVal val="0"/>
          <c:showCatName val="0"/>
          <c:showSerName val="0"/>
          <c:showPercent val="0"/>
          <c:showBubbleSize val="0"/>
        </c:dLbls>
        <c:axId val="132278144"/>
        <c:axId val="132279680"/>
      </c:scatterChart>
      <c:valAx>
        <c:axId val="132278144"/>
        <c:scaling>
          <c:orientation val="minMax"/>
          <c:max val="5000"/>
        </c:scaling>
        <c:delete val="0"/>
        <c:axPos val="b"/>
        <c:numFmt formatCode="General" sourceLinked="1"/>
        <c:majorTickMark val="out"/>
        <c:minorTickMark val="none"/>
        <c:tickLblPos val="nextTo"/>
        <c:crossAx val="132279680"/>
        <c:crosses val="autoZero"/>
        <c:crossBetween val="midCat"/>
      </c:valAx>
      <c:valAx>
        <c:axId val="132279680"/>
        <c:scaling>
          <c:orientation val="minMax"/>
        </c:scaling>
        <c:delete val="0"/>
        <c:axPos val="l"/>
        <c:majorGridlines/>
        <c:numFmt formatCode="0.00" sourceLinked="1"/>
        <c:majorTickMark val="out"/>
        <c:minorTickMark val="none"/>
        <c:tickLblPos val="nextTo"/>
        <c:crossAx val="132278144"/>
        <c:crosses val="autoZero"/>
        <c:crossBetween val="midCat"/>
      </c:valAx>
    </c:plotArea>
    <c:legend>
      <c:legendPos val="r"/>
      <c:layout>
        <c:manualLayout>
          <c:xMode val="edge"/>
          <c:yMode val="edge"/>
          <c:x val="0.65313888888888894"/>
          <c:y val="0.45794947506561678"/>
          <c:w val="0.15797222222222224"/>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2125240594925635"/>
          <c:y val="5.1400554097404488E-2"/>
          <c:w val="0.81205314960629926"/>
          <c:h val="0.8326195683872849"/>
        </c:manualLayout>
      </c:layout>
      <c:scatterChart>
        <c:scatterStyle val="smoothMarker"/>
        <c:varyColors val="0"/>
        <c:ser>
          <c:idx val="1"/>
          <c:order val="0"/>
          <c:tx>
            <c:strRef>
              <c:f>'PAYNE Equations'!$I$11</c:f>
              <c:strCache>
                <c:ptCount val="1"/>
                <c:pt idx="0">
                  <c:v>µ'/ µ" WTG</c:v>
                </c:pt>
              </c:strCache>
            </c:strRef>
          </c:tx>
          <c:xVal>
            <c:numRef>
              <c:f>'PAYNE Equations'!$J$9:$W$9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Equations'!$J$11:$W$11</c:f>
              <c:numCache>
                <c:formatCode>0.00</c:formatCode>
                <c:ptCount val="14"/>
                <c:pt idx="0">
                  <c:v>0.27169932204494823</c:v>
                </c:pt>
                <c:pt idx="1">
                  <c:v>0.64017001713121324</c:v>
                </c:pt>
                <c:pt idx="2">
                  <c:v>0.71677639644403623</c:v>
                </c:pt>
                <c:pt idx="3">
                  <c:v>0.77536429816647312</c:v>
                </c:pt>
                <c:pt idx="4">
                  <c:v>0.79366251490761464</c:v>
                </c:pt>
                <c:pt idx="5">
                  <c:v>0.87734335605311731</c:v>
                </c:pt>
                <c:pt idx="6">
                  <c:v>0.83143928974053627</c:v>
                </c:pt>
                <c:pt idx="7">
                  <c:v>0.85760489645465987</c:v>
                </c:pt>
                <c:pt idx="8">
                  <c:v>0.9235218271643505</c:v>
                </c:pt>
                <c:pt idx="9">
                  <c:v>1.0059009120294582</c:v>
                </c:pt>
                <c:pt idx="10">
                  <c:v>0.90834551131113994</c:v>
                </c:pt>
                <c:pt idx="11">
                  <c:v>0.98666310142597013</c:v>
                </c:pt>
                <c:pt idx="12">
                  <c:v>1.4114230633834908</c:v>
                </c:pt>
                <c:pt idx="13">
                  <c:v>9.0475840201294861</c:v>
                </c:pt>
              </c:numCache>
            </c:numRef>
          </c:yVal>
          <c:smooth val="1"/>
        </c:ser>
        <c:dLbls>
          <c:showLegendKey val="0"/>
          <c:showVal val="0"/>
          <c:showCatName val="0"/>
          <c:showSerName val="0"/>
          <c:showPercent val="0"/>
          <c:showBubbleSize val="0"/>
        </c:dLbls>
        <c:axId val="132304896"/>
        <c:axId val="132306432"/>
      </c:scatterChart>
      <c:valAx>
        <c:axId val="132304896"/>
        <c:scaling>
          <c:orientation val="minMax"/>
          <c:max val="1000"/>
        </c:scaling>
        <c:delete val="0"/>
        <c:axPos val="b"/>
        <c:numFmt formatCode="General" sourceLinked="1"/>
        <c:majorTickMark val="out"/>
        <c:minorTickMark val="none"/>
        <c:tickLblPos val="nextTo"/>
        <c:crossAx val="132306432"/>
        <c:crosses val="autoZero"/>
        <c:crossBetween val="midCat"/>
      </c:valAx>
      <c:valAx>
        <c:axId val="132306432"/>
        <c:scaling>
          <c:orientation val="minMax"/>
          <c:max val="2"/>
        </c:scaling>
        <c:delete val="0"/>
        <c:axPos val="l"/>
        <c:majorGridlines/>
        <c:numFmt formatCode="0.00" sourceLinked="1"/>
        <c:majorTickMark val="out"/>
        <c:minorTickMark val="none"/>
        <c:tickLblPos val="nextTo"/>
        <c:crossAx val="132304896"/>
        <c:crosses val="autoZero"/>
        <c:crossBetween val="midCat"/>
      </c:valAx>
    </c:plotArea>
    <c:legend>
      <c:legendPos val="r"/>
      <c:layout>
        <c:manualLayout>
          <c:xMode val="edge"/>
          <c:yMode val="edge"/>
          <c:x val="0.65313888888888894"/>
          <c:y val="0.45794947506561678"/>
          <c:w val="0.15797222222222224"/>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55796150481191"/>
          <c:y val="5.1400554097404488E-2"/>
          <c:w val="0.82202493438320223"/>
          <c:h val="0.79558253135024792"/>
        </c:manualLayout>
      </c:layout>
      <c:scatterChart>
        <c:scatterStyle val="smoothMarker"/>
        <c:varyColors val="0"/>
        <c:ser>
          <c:idx val="0"/>
          <c:order val="0"/>
          <c:tx>
            <c:strRef>
              <c:f>'PAYNE Equations'!$I$67</c:f>
              <c:strCache>
                <c:ptCount val="1"/>
                <c:pt idx="0">
                  <c:v>Skin Effect</c:v>
                </c:pt>
              </c:strCache>
            </c:strRef>
          </c:tx>
          <c:xVal>
            <c:numRef>
              <c:f>'PAYNE Equations'!$J$66:$W$66</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Equations'!$J$67:$W$67</c:f>
              <c:numCache>
                <c:formatCode>General</c:formatCode>
                <c:ptCount val="14"/>
                <c:pt idx="0">
                  <c:v>0.338148057019384</c:v>
                </c:pt>
                <c:pt idx="1">
                  <c:v>0.2732982250951202</c:v>
                </c:pt>
                <c:pt idx="2">
                  <c:v>0.31303235134854257</c:v>
                </c:pt>
                <c:pt idx="3">
                  <c:v>0.36868022112026771</c:v>
                </c:pt>
                <c:pt idx="4">
                  <c:v>0.41907183192341063</c:v>
                </c:pt>
                <c:pt idx="5">
                  <c:v>0.46517354863678645</c:v>
                </c:pt>
                <c:pt idx="6">
                  <c:v>0.50787405041464306</c:v>
                </c:pt>
                <c:pt idx="7">
                  <c:v>0.54779368935434458</c:v>
                </c:pt>
                <c:pt idx="8">
                  <c:v>0.62097228368520674</c:v>
                </c:pt>
                <c:pt idx="9">
                  <c:v>0.65482948167857857</c:v>
                </c:pt>
                <c:pt idx="10">
                  <c:v>0.6871602299410362</c:v>
                </c:pt>
                <c:pt idx="11">
                  <c:v>0.90629543250874312</c:v>
                </c:pt>
                <c:pt idx="12">
                  <c:v>1.2915420468309027</c:v>
                </c:pt>
                <c:pt idx="13">
                  <c:v>2.3865618266824757</c:v>
                </c:pt>
              </c:numCache>
            </c:numRef>
          </c:yVal>
          <c:smooth val="1"/>
        </c:ser>
        <c:ser>
          <c:idx val="1"/>
          <c:order val="1"/>
          <c:tx>
            <c:strRef>
              <c:f>'PAYNE Equations'!$I$68</c:f>
              <c:strCache>
                <c:ptCount val="1"/>
                <c:pt idx="0">
                  <c:v>Total Losses</c:v>
                </c:pt>
              </c:strCache>
            </c:strRef>
          </c:tx>
          <c:xVal>
            <c:numRef>
              <c:f>'PAYNE Equations'!$J$66:$W$66</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Equations'!$J$68:$W$68</c:f>
              <c:numCache>
                <c:formatCode>0.00000</c:formatCode>
                <c:ptCount val="14"/>
                <c:pt idx="0">
                  <c:v>0.78707454535232801</c:v>
                </c:pt>
                <c:pt idx="1">
                  <c:v>0.8914459522951359</c:v>
                </c:pt>
                <c:pt idx="2">
                  <c:v>1.0528822461873999</c:v>
                </c:pt>
                <c:pt idx="3">
                  <c:v>1.15586356544001</c:v>
                </c:pt>
                <c:pt idx="4">
                  <c:v>1.27556707084357</c:v>
                </c:pt>
                <c:pt idx="5">
                  <c:v>1.3113236625142499</c:v>
                </c:pt>
                <c:pt idx="6">
                  <c:v>1.4699418419281498</c:v>
                </c:pt>
                <c:pt idx="7">
                  <c:v>1.5429779079566399</c:v>
                </c:pt>
                <c:pt idx="8">
                  <c:v>1.6512729120246099</c:v>
                </c:pt>
                <c:pt idx="9">
                  <c:v>1.6458756012334099</c:v>
                </c:pt>
                <c:pt idx="10">
                  <c:v>1.83243448967637</c:v>
                </c:pt>
                <c:pt idx="11">
                  <c:v>2.2621458472537199</c:v>
                </c:pt>
                <c:pt idx="12">
                  <c:v>2.62260332728478</c:v>
                </c:pt>
                <c:pt idx="13">
                  <c:v>2.7728195662793</c:v>
                </c:pt>
              </c:numCache>
            </c:numRef>
          </c:yVal>
          <c:smooth val="1"/>
        </c:ser>
        <c:dLbls>
          <c:showLegendKey val="0"/>
          <c:showVal val="0"/>
          <c:showCatName val="0"/>
          <c:showSerName val="0"/>
          <c:showPercent val="0"/>
          <c:showBubbleSize val="0"/>
        </c:dLbls>
        <c:axId val="132459520"/>
        <c:axId val="132494464"/>
      </c:scatterChart>
      <c:valAx>
        <c:axId val="132459520"/>
        <c:scaling>
          <c:orientation val="minMax"/>
          <c:max val="5000"/>
        </c:scaling>
        <c:delete val="0"/>
        <c:axPos val="b"/>
        <c:title>
          <c:tx>
            <c:rich>
              <a:bodyPr/>
              <a:lstStyle/>
              <a:p>
                <a:pPr>
                  <a:defRPr/>
                </a:pPr>
                <a:r>
                  <a:rPr lang="en-US"/>
                  <a:t>Frequency (Hz)</a:t>
                </a:r>
              </a:p>
            </c:rich>
          </c:tx>
          <c:layout/>
          <c:overlay val="0"/>
        </c:title>
        <c:numFmt formatCode="General" sourceLinked="1"/>
        <c:majorTickMark val="out"/>
        <c:minorTickMark val="none"/>
        <c:tickLblPos val="nextTo"/>
        <c:crossAx val="132494464"/>
        <c:crosses val="autoZero"/>
        <c:crossBetween val="midCat"/>
      </c:valAx>
      <c:valAx>
        <c:axId val="132494464"/>
        <c:scaling>
          <c:orientation val="minMax"/>
        </c:scaling>
        <c:delete val="0"/>
        <c:axPos val="l"/>
        <c:majorGridlines/>
        <c:title>
          <c:tx>
            <c:rich>
              <a:bodyPr rot="-5400000" vert="horz"/>
              <a:lstStyle/>
              <a:p>
                <a:pPr>
                  <a:defRPr/>
                </a:pPr>
                <a:r>
                  <a:rPr lang="en-US"/>
                  <a:t>Impedance,</a:t>
                </a:r>
                <a:r>
                  <a:rPr lang="en-US" baseline="0"/>
                  <a:t> </a:t>
                </a:r>
                <a:r>
                  <a:rPr lang="el-GR" baseline="0">
                    <a:latin typeface="Calibri"/>
                  </a:rPr>
                  <a:t>Ω</a:t>
                </a:r>
                <a:endParaRPr lang="en-US"/>
              </a:p>
            </c:rich>
          </c:tx>
          <c:layout/>
          <c:overlay val="0"/>
        </c:title>
        <c:numFmt formatCode="General" sourceLinked="1"/>
        <c:majorTickMark val="out"/>
        <c:minorTickMark val="none"/>
        <c:tickLblPos val="nextTo"/>
        <c:crossAx val="132459520"/>
        <c:crosses val="autoZero"/>
        <c:crossBetween val="midCat"/>
      </c:valAx>
    </c:plotArea>
    <c:legend>
      <c:legendPos val="r"/>
      <c:layout>
        <c:manualLayout>
          <c:xMode val="edge"/>
          <c:yMode val="edge"/>
          <c:x val="0.70697178477690292"/>
          <c:y val="0.40702354913969085"/>
          <c:w val="0.21247265966754156"/>
          <c:h val="0.16743438320209975"/>
        </c:manualLayou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7462817147856"/>
          <c:y val="5.1400554097404488E-2"/>
          <c:w val="0.80195538057742777"/>
          <c:h val="0.79095290172061827"/>
        </c:manualLayout>
      </c:layout>
      <c:scatterChart>
        <c:scatterStyle val="smoothMarker"/>
        <c:varyColors val="0"/>
        <c:ser>
          <c:idx val="0"/>
          <c:order val="0"/>
          <c:tx>
            <c:strRef>
              <c:f>'PAYNE Equations'!$I$90</c:f>
              <c:strCache>
                <c:ptCount val="1"/>
                <c:pt idx="0">
                  <c:v>External</c:v>
                </c:pt>
              </c:strCache>
            </c:strRef>
          </c:tx>
          <c:xVal>
            <c:numRef>
              <c:f>'PAYNE Equations'!$J$89:$W$89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Equations'!$J$90:$W$90</c:f>
              <c:numCache>
                <c:formatCode>0.00000</c:formatCode>
                <c:ptCount val="14"/>
                <c:pt idx="0">
                  <c:v>0.18345254339392572</c:v>
                </c:pt>
                <c:pt idx="1">
                  <c:v>0.48172714868480337</c:v>
                </c:pt>
                <c:pt idx="2">
                  <c:v>0.69585237059490479</c:v>
                </c:pt>
                <c:pt idx="3">
                  <c:v>0.90758171240878571</c:v>
                </c:pt>
                <c:pt idx="4">
                  <c:v>1.1716993360709282</c:v>
                </c:pt>
                <c:pt idx="5">
                  <c:v>1.4373454327544788</c:v>
                </c:pt>
                <c:pt idx="6">
                  <c:v>1.6240325948251835</c:v>
                </c:pt>
                <c:pt idx="7">
                  <c:v>1.8672198618835267</c:v>
                </c:pt>
                <c:pt idx="8">
                  <c:v>2.2628291462990457</c:v>
                </c:pt>
                <c:pt idx="9">
                  <c:v>2.5369057739688499</c:v>
                </c:pt>
                <c:pt idx="10">
                  <c:v>2.7565007965456307</c:v>
                </c:pt>
                <c:pt idx="11">
                  <c:v>4.5087674583701336</c:v>
                </c:pt>
                <c:pt idx="12">
                  <c:v>9.2557220241121367</c:v>
                </c:pt>
                <c:pt idx="13">
                  <c:v>44.298015843935943</c:v>
                </c:pt>
              </c:numCache>
            </c:numRef>
          </c:yVal>
          <c:smooth val="1"/>
        </c:ser>
        <c:ser>
          <c:idx val="1"/>
          <c:order val="1"/>
          <c:tx>
            <c:strRef>
              <c:f>'PAYNE Equations'!$I$91</c:f>
              <c:strCache>
                <c:ptCount val="1"/>
                <c:pt idx="0">
                  <c:v>Total</c:v>
                </c:pt>
              </c:strCache>
            </c:strRef>
          </c:tx>
          <c:xVal>
            <c:numRef>
              <c:f>'PAYNE Equations'!$J$89:$W$89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Equations'!$J$91:$W$91</c:f>
              <c:numCache>
                <c:formatCode>0.00000</c:formatCode>
                <c:ptCount val="14"/>
                <c:pt idx="0">
                  <c:v>0.30542556592200598</c:v>
                </c:pt>
                <c:pt idx="1">
                  <c:v>0.87744678979605806</c:v>
                </c:pt>
                <c:pt idx="2">
                  <c:v>1.2261593121270002</c:v>
                </c:pt>
                <c:pt idx="3">
                  <c:v>1.5179355737055999</c:v>
                </c:pt>
                <c:pt idx="4">
                  <c:v>1.8514675013987003</c:v>
                </c:pt>
                <c:pt idx="5">
                  <c:v>2.1797096133884599</c:v>
                </c:pt>
                <c:pt idx="6">
                  <c:v>2.4239335560834201</c:v>
                </c:pt>
                <c:pt idx="7">
                  <c:v>2.7206947206312599</c:v>
                </c:pt>
                <c:pt idx="8">
                  <c:v>3.2143342651116296</c:v>
                </c:pt>
                <c:pt idx="9">
                  <c:v>3.5337999694923101</c:v>
                </c:pt>
                <c:pt idx="10">
                  <c:v>3.7968055295964098</c:v>
                </c:pt>
                <c:pt idx="11">
                  <c:v>5.8465350336521</c:v>
                </c:pt>
                <c:pt idx="12">
                  <c:v>11.1344126141215</c:v>
                </c:pt>
                <c:pt idx="13">
                  <c:v>47.79271519636351</c:v>
                </c:pt>
              </c:numCache>
            </c:numRef>
          </c:yVal>
          <c:smooth val="1"/>
        </c:ser>
        <c:dLbls>
          <c:showLegendKey val="0"/>
          <c:showVal val="0"/>
          <c:showCatName val="0"/>
          <c:showSerName val="0"/>
          <c:showPercent val="0"/>
          <c:showBubbleSize val="0"/>
        </c:dLbls>
        <c:axId val="132523904"/>
        <c:axId val="132526080"/>
      </c:scatterChart>
      <c:valAx>
        <c:axId val="132523904"/>
        <c:scaling>
          <c:orientation val="minMax"/>
          <c:max val="5000"/>
        </c:scaling>
        <c:delete val="0"/>
        <c:axPos val="b"/>
        <c:title>
          <c:tx>
            <c:rich>
              <a:bodyPr/>
              <a:lstStyle/>
              <a:p>
                <a:pPr>
                  <a:defRPr/>
                </a:pPr>
                <a:r>
                  <a:rPr lang="en-US"/>
                  <a:t>Frequency (Hz)</a:t>
                </a:r>
              </a:p>
            </c:rich>
          </c:tx>
          <c:layout/>
          <c:overlay val="0"/>
        </c:title>
        <c:numFmt formatCode="General" sourceLinked="1"/>
        <c:majorTickMark val="out"/>
        <c:minorTickMark val="none"/>
        <c:tickLblPos val="nextTo"/>
        <c:crossAx val="132526080"/>
        <c:crosses val="autoZero"/>
        <c:crossBetween val="midCat"/>
      </c:valAx>
      <c:valAx>
        <c:axId val="132526080"/>
        <c:scaling>
          <c:orientation val="minMax"/>
        </c:scaling>
        <c:delete val="0"/>
        <c:axPos val="l"/>
        <c:majorGridlines/>
        <c:title>
          <c:tx>
            <c:rich>
              <a:bodyPr rot="-5400000" vert="horz"/>
              <a:lstStyle/>
              <a:p>
                <a:pPr>
                  <a:defRPr/>
                </a:pPr>
                <a:r>
                  <a:rPr lang="en-US"/>
                  <a:t>Impedance </a:t>
                </a:r>
                <a:r>
                  <a:rPr lang="el-GR">
                    <a:latin typeface="Calibri"/>
                  </a:rPr>
                  <a:t>Ω</a:t>
                </a:r>
                <a:endParaRPr lang="en-US"/>
              </a:p>
            </c:rich>
          </c:tx>
          <c:layout>
            <c:manualLayout>
              <c:xMode val="edge"/>
              <c:yMode val="edge"/>
              <c:x val="2.6861111111111113E-2"/>
              <c:y val="0.30532589676290461"/>
            </c:manualLayout>
          </c:layout>
          <c:overlay val="0"/>
        </c:title>
        <c:numFmt formatCode="0" sourceLinked="0"/>
        <c:majorTickMark val="out"/>
        <c:minorTickMark val="none"/>
        <c:tickLblPos val="nextTo"/>
        <c:crossAx val="132523904"/>
        <c:crosses val="autoZero"/>
        <c:crossBetween val="midCat"/>
      </c:valAx>
    </c:plotArea>
    <c:legend>
      <c:legendPos val="r"/>
      <c:layout>
        <c:manualLayout>
          <c:xMode val="edge"/>
          <c:yMode val="edge"/>
          <c:x val="0.7184300087489065"/>
          <c:y val="0.47646799358413533"/>
          <c:w val="0.17601443569553807"/>
          <c:h val="0.16743438320209975"/>
        </c:manualLayou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7462817147856"/>
          <c:y val="5.1400554097404488E-2"/>
          <c:w val="0.80195538057742777"/>
          <c:h val="0.79095290172061827"/>
        </c:manualLayout>
      </c:layout>
      <c:scatterChart>
        <c:scatterStyle val="smoothMarker"/>
        <c:varyColors val="0"/>
        <c:ser>
          <c:idx val="0"/>
          <c:order val="0"/>
          <c:tx>
            <c:strRef>
              <c:f>'PAYNE Equations'!$I$90</c:f>
              <c:strCache>
                <c:ptCount val="1"/>
                <c:pt idx="0">
                  <c:v>External</c:v>
                </c:pt>
              </c:strCache>
            </c:strRef>
          </c:tx>
          <c:xVal>
            <c:numRef>
              <c:f>'PAYNE Equations'!$J$89:$W$89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Equations'!$J$90:$W$90</c:f>
              <c:numCache>
                <c:formatCode>0.00000</c:formatCode>
                <c:ptCount val="14"/>
                <c:pt idx="0">
                  <c:v>0.18345254339392572</c:v>
                </c:pt>
                <c:pt idx="1">
                  <c:v>0.48172714868480337</c:v>
                </c:pt>
                <c:pt idx="2">
                  <c:v>0.69585237059490479</c:v>
                </c:pt>
                <c:pt idx="3">
                  <c:v>0.90758171240878571</c:v>
                </c:pt>
                <c:pt idx="4">
                  <c:v>1.1716993360709282</c:v>
                </c:pt>
                <c:pt idx="5">
                  <c:v>1.4373454327544788</c:v>
                </c:pt>
                <c:pt idx="6">
                  <c:v>1.6240325948251835</c:v>
                </c:pt>
                <c:pt idx="7">
                  <c:v>1.8672198618835267</c:v>
                </c:pt>
                <c:pt idx="8">
                  <c:v>2.2628291462990457</c:v>
                </c:pt>
                <c:pt idx="9">
                  <c:v>2.5369057739688499</c:v>
                </c:pt>
                <c:pt idx="10">
                  <c:v>2.7565007965456307</c:v>
                </c:pt>
                <c:pt idx="11">
                  <c:v>4.5087674583701336</c:v>
                </c:pt>
                <c:pt idx="12">
                  <c:v>9.2557220241121367</c:v>
                </c:pt>
                <c:pt idx="13">
                  <c:v>44.298015843935943</c:v>
                </c:pt>
              </c:numCache>
            </c:numRef>
          </c:yVal>
          <c:smooth val="1"/>
        </c:ser>
        <c:ser>
          <c:idx val="1"/>
          <c:order val="1"/>
          <c:tx>
            <c:strRef>
              <c:f>'PAYNE Equations'!$I$91</c:f>
              <c:strCache>
                <c:ptCount val="1"/>
                <c:pt idx="0">
                  <c:v>Total</c:v>
                </c:pt>
              </c:strCache>
            </c:strRef>
          </c:tx>
          <c:xVal>
            <c:numRef>
              <c:f>'PAYNE Equations'!$J$89:$W$89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'PAYNE Equations'!$J$91:$W$91</c:f>
              <c:numCache>
                <c:formatCode>0.00000</c:formatCode>
                <c:ptCount val="14"/>
                <c:pt idx="0">
                  <c:v>0.30542556592200598</c:v>
                </c:pt>
                <c:pt idx="1">
                  <c:v>0.87744678979605806</c:v>
                </c:pt>
                <c:pt idx="2">
                  <c:v>1.2261593121270002</c:v>
                </c:pt>
                <c:pt idx="3">
                  <c:v>1.5179355737055999</c:v>
                </c:pt>
                <c:pt idx="4">
                  <c:v>1.8514675013987003</c:v>
                </c:pt>
                <c:pt idx="5">
                  <c:v>2.1797096133884599</c:v>
                </c:pt>
                <c:pt idx="6">
                  <c:v>2.4239335560834201</c:v>
                </c:pt>
                <c:pt idx="7">
                  <c:v>2.7206947206312599</c:v>
                </c:pt>
                <c:pt idx="8">
                  <c:v>3.2143342651116296</c:v>
                </c:pt>
                <c:pt idx="9">
                  <c:v>3.5337999694923101</c:v>
                </c:pt>
                <c:pt idx="10">
                  <c:v>3.7968055295964098</c:v>
                </c:pt>
                <c:pt idx="11">
                  <c:v>5.8465350336521</c:v>
                </c:pt>
                <c:pt idx="12">
                  <c:v>11.1344126141215</c:v>
                </c:pt>
                <c:pt idx="13">
                  <c:v>47.79271519636351</c:v>
                </c:pt>
              </c:numCache>
            </c:numRef>
          </c:yVal>
          <c:smooth val="1"/>
        </c:ser>
        <c:dLbls>
          <c:showLegendKey val="0"/>
          <c:showVal val="0"/>
          <c:showCatName val="0"/>
          <c:showSerName val="0"/>
          <c:showPercent val="0"/>
          <c:showBubbleSize val="0"/>
        </c:dLbls>
        <c:axId val="132568192"/>
        <c:axId val="132570112"/>
      </c:scatterChart>
      <c:valAx>
        <c:axId val="132568192"/>
        <c:scaling>
          <c:orientation val="minMax"/>
          <c:max val="150"/>
        </c:scaling>
        <c:delete val="0"/>
        <c:axPos val="b"/>
        <c:title>
          <c:tx>
            <c:rich>
              <a:bodyPr/>
              <a:lstStyle/>
              <a:p>
                <a:pPr>
                  <a:defRPr/>
                </a:pPr>
                <a:r>
                  <a:rPr lang="en-US"/>
                  <a:t>Frequency (Hz)</a:t>
                </a:r>
              </a:p>
            </c:rich>
          </c:tx>
          <c:layout/>
          <c:overlay val="0"/>
        </c:title>
        <c:numFmt formatCode="General" sourceLinked="1"/>
        <c:majorTickMark val="out"/>
        <c:minorTickMark val="none"/>
        <c:tickLblPos val="nextTo"/>
        <c:crossAx val="132570112"/>
        <c:crosses val="autoZero"/>
        <c:crossBetween val="midCat"/>
      </c:valAx>
      <c:valAx>
        <c:axId val="132570112"/>
        <c:scaling>
          <c:orientation val="minMax"/>
          <c:max val="3"/>
        </c:scaling>
        <c:delete val="0"/>
        <c:axPos val="l"/>
        <c:majorGridlines/>
        <c:title>
          <c:tx>
            <c:rich>
              <a:bodyPr rot="-5400000" vert="horz"/>
              <a:lstStyle/>
              <a:p>
                <a:pPr>
                  <a:defRPr/>
                </a:pPr>
                <a:r>
                  <a:rPr lang="en-US"/>
                  <a:t>Impedance </a:t>
                </a:r>
                <a:r>
                  <a:rPr lang="el-GR">
                    <a:latin typeface="Calibri"/>
                  </a:rPr>
                  <a:t>Ω</a:t>
                </a:r>
                <a:endParaRPr lang="en-US"/>
              </a:p>
            </c:rich>
          </c:tx>
          <c:layout>
            <c:manualLayout>
              <c:xMode val="edge"/>
              <c:yMode val="edge"/>
              <c:x val="2.6861111111111113E-2"/>
              <c:y val="0.30532589676290461"/>
            </c:manualLayout>
          </c:layout>
          <c:overlay val="0"/>
        </c:title>
        <c:numFmt formatCode="0.0" sourceLinked="0"/>
        <c:majorTickMark val="out"/>
        <c:minorTickMark val="none"/>
        <c:tickLblPos val="nextTo"/>
        <c:crossAx val="132568192"/>
        <c:crosses val="autoZero"/>
        <c:crossBetween val="midCat"/>
      </c:valAx>
    </c:plotArea>
    <c:legend>
      <c:legendPos val="r"/>
      <c:layout>
        <c:manualLayout>
          <c:xMode val="edge"/>
          <c:yMode val="edge"/>
          <c:x val="0.28787445319335081"/>
          <c:y val="0.21720873432487606"/>
          <c:w val="0.17601443569553807"/>
          <c:h val="0.16743438320209975"/>
        </c:manualLayou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'Processing Ivanek Feed Imped'!$S$45</c:f>
              <c:strCache>
                <c:ptCount val="1"/>
                <c:pt idx="0">
                  <c:v>ABS(B)</c:v>
                </c:pt>
              </c:strCache>
            </c:strRef>
          </c:tx>
          <c:spPr>
            <a:ln w="28575">
              <a:noFill/>
            </a:ln>
          </c:spPr>
          <c:xVal>
            <c:numRef>
              <c:f>'Processing Ivanek Feed Imped'!$R$46:$R$60</c:f>
              <c:numCache>
                <c:formatCode>General</c:formatCode>
                <c:ptCount val="15"/>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3000</c:v>
                </c:pt>
                <c:pt idx="14">
                  <c:v>5000</c:v>
                </c:pt>
              </c:numCache>
            </c:numRef>
          </c:xVal>
          <c:yVal>
            <c:numRef>
              <c:f>'Processing Ivanek Feed Imped'!$S$46:$S$60</c:f>
              <c:numCache>
                <c:formatCode>General</c:formatCode>
                <c:ptCount val="15"/>
                <c:pt idx="0">
                  <c:v>25.435741527327679</c:v>
                </c:pt>
                <c:pt idx="1">
                  <c:v>23.577352448716102</c:v>
                </c:pt>
                <c:pt idx="2">
                  <c:v>23.193843344186369</c:v>
                </c:pt>
                <c:pt idx="3">
                  <c:v>22.864770561317087</c:v>
                </c:pt>
                <c:pt idx="4">
                  <c:v>22.678119699344311</c:v>
                </c:pt>
                <c:pt idx="5">
                  <c:v>22.593329960576625</c:v>
                </c:pt>
                <c:pt idx="6">
                  <c:v>22.36165018866161</c:v>
                </c:pt>
                <c:pt idx="7">
                  <c:v>22.141504229596855</c:v>
                </c:pt>
                <c:pt idx="8">
                  <c:v>22.00646985387219</c:v>
                </c:pt>
                <c:pt idx="9">
                  <c:v>21.759714590865475</c:v>
                </c:pt>
                <c:pt idx="10">
                  <c:v>21.19627009317125</c:v>
                </c:pt>
                <c:pt idx="11">
                  <c:v>20.363179096616751</c:v>
                </c:pt>
                <c:pt idx="12">
                  <c:v>20.021622561723767</c:v>
                </c:pt>
                <c:pt idx="13">
                  <c:v>20.776794220869832</c:v>
                </c:pt>
                <c:pt idx="14">
                  <c:v>18.031759797862243</c:v>
                </c:pt>
              </c:numCache>
            </c:numRef>
          </c:yVal>
          <c:smooth val="0"/>
        </c:ser>
        <c:dLbls>
          <c:showLegendKey val="0"/>
          <c:showVal val="0"/>
          <c:showCatName val="0"/>
          <c:showSerName val="0"/>
          <c:showPercent val="0"/>
          <c:showBubbleSize val="0"/>
        </c:dLbls>
        <c:axId val="111774336"/>
        <c:axId val="111780224"/>
      </c:scatterChart>
      <c:valAx>
        <c:axId val="111774336"/>
        <c:scaling>
          <c:orientation val="minMax"/>
          <c:max val="1000"/>
        </c:scaling>
        <c:delete val="0"/>
        <c:axPos val="b"/>
        <c:numFmt formatCode="General" sourceLinked="1"/>
        <c:majorTickMark val="out"/>
        <c:minorTickMark val="none"/>
        <c:tickLblPos val="nextTo"/>
        <c:crossAx val="111780224"/>
        <c:crosses val="autoZero"/>
        <c:crossBetween val="midCat"/>
      </c:valAx>
      <c:valAx>
        <c:axId val="111780224"/>
        <c:scaling>
          <c:orientation val="minMax"/>
        </c:scaling>
        <c:delete val="0"/>
        <c:axPos val="l"/>
        <c:majorGridlines/>
        <c:numFmt formatCode="General" sourceLinked="1"/>
        <c:majorTickMark val="out"/>
        <c:minorTickMark val="none"/>
        <c:tickLblPos val="nextTo"/>
        <c:crossAx val="1117743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'Processing Ivanek Feed Imped'!$R$65:$R$79</c:f>
              <c:numCache>
                <c:formatCode>General</c:formatCode>
                <c:ptCount val="15"/>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3000</c:v>
                </c:pt>
                <c:pt idx="14">
                  <c:v>5000</c:v>
                </c:pt>
              </c:numCache>
            </c:numRef>
          </c:xVal>
          <c:yVal>
            <c:numRef>
              <c:f>'Processing Ivanek Feed Imped'!$S$65:$S$79</c:f>
              <c:numCache>
                <c:formatCode>General</c:formatCode>
                <c:ptCount val="15"/>
                <c:pt idx="0">
                  <c:v>0.2558356760439307</c:v>
                </c:pt>
                <c:pt idx="1">
                  <c:v>0.37904097662903469</c:v>
                </c:pt>
                <c:pt idx="2">
                  <c:v>0.48975056741003992</c:v>
                </c:pt>
                <c:pt idx="3">
                  <c:v>0.57815680238054845</c:v>
                </c:pt>
                <c:pt idx="4">
                  <c:v>0.68131316387450469</c:v>
                </c:pt>
                <c:pt idx="5">
                  <c:v>0.77083569705946131</c:v>
                </c:pt>
                <c:pt idx="6">
                  <c:v>0.85903521293233343</c:v>
                </c:pt>
                <c:pt idx="7">
                  <c:v>0.94780983761239979</c:v>
                </c:pt>
                <c:pt idx="8">
                  <c:v>1.0950530299773307</c:v>
                </c:pt>
                <c:pt idx="9">
                  <c:v>1.1812993701595411</c:v>
                </c:pt>
                <c:pt idx="10">
                  <c:v>1.2775359514718052</c:v>
                </c:pt>
                <c:pt idx="11">
                  <c:v>1.8996707397747512</c:v>
                </c:pt>
                <c:pt idx="12">
                  <c:v>3.4663963720886302</c:v>
                </c:pt>
                <c:pt idx="13">
                  <c:v>7.7483289451254844</c:v>
                </c:pt>
                <c:pt idx="14">
                  <c:v>14.506995096181976</c:v>
                </c:pt>
              </c:numCache>
            </c:numRef>
          </c:yVal>
          <c:smooth val="0"/>
        </c:ser>
        <c:dLbls>
          <c:showLegendKey val="0"/>
          <c:showVal val="0"/>
          <c:showCatName val="0"/>
          <c:showSerName val="0"/>
          <c:showPercent val="0"/>
          <c:showBubbleSize val="0"/>
        </c:dLbls>
        <c:axId val="113578368"/>
        <c:axId val="113579904"/>
      </c:scatterChart>
      <c:valAx>
        <c:axId val="113578368"/>
        <c:scaling>
          <c:orientation val="minMax"/>
        </c:scaling>
        <c:delete val="0"/>
        <c:axPos val="b"/>
        <c:numFmt formatCode="General" sourceLinked="1"/>
        <c:majorTickMark val="out"/>
        <c:minorTickMark val="none"/>
        <c:tickLblPos val="nextTo"/>
        <c:crossAx val="113579904"/>
        <c:crosses val="autoZero"/>
        <c:crossBetween val="midCat"/>
      </c:valAx>
      <c:valAx>
        <c:axId val="113579904"/>
        <c:scaling>
          <c:orientation val="minMax"/>
        </c:scaling>
        <c:delete val="0"/>
        <c:axPos val="l"/>
        <c:majorGridlines/>
        <c:numFmt formatCode="General" sourceLinked="1"/>
        <c:majorTickMark val="out"/>
        <c:minorTickMark val="none"/>
        <c:tickLblPos val="nextTo"/>
        <c:crossAx val="113578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'Processing Ivanek Feed Imped'!$R$65:$R$79</c:f>
              <c:numCache>
                <c:formatCode>General</c:formatCode>
                <c:ptCount val="15"/>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3000</c:v>
                </c:pt>
                <c:pt idx="14">
                  <c:v>5000</c:v>
                </c:pt>
              </c:numCache>
            </c:numRef>
          </c:xVal>
          <c:yVal>
            <c:numRef>
              <c:f>'Processing Ivanek Feed Imped'!$S$65:$S$79</c:f>
              <c:numCache>
                <c:formatCode>General</c:formatCode>
                <c:ptCount val="15"/>
                <c:pt idx="0">
                  <c:v>0.2558356760439307</c:v>
                </c:pt>
                <c:pt idx="1">
                  <c:v>0.37904097662903469</c:v>
                </c:pt>
                <c:pt idx="2">
                  <c:v>0.48975056741003992</c:v>
                </c:pt>
                <c:pt idx="3">
                  <c:v>0.57815680238054845</c:v>
                </c:pt>
                <c:pt idx="4">
                  <c:v>0.68131316387450469</c:v>
                </c:pt>
                <c:pt idx="5">
                  <c:v>0.77083569705946131</c:v>
                </c:pt>
                <c:pt idx="6">
                  <c:v>0.85903521293233343</c:v>
                </c:pt>
                <c:pt idx="7">
                  <c:v>0.94780983761239979</c:v>
                </c:pt>
                <c:pt idx="8">
                  <c:v>1.0950530299773307</c:v>
                </c:pt>
                <c:pt idx="9">
                  <c:v>1.1812993701595411</c:v>
                </c:pt>
                <c:pt idx="10">
                  <c:v>1.2775359514718052</c:v>
                </c:pt>
                <c:pt idx="11">
                  <c:v>1.8996707397747512</c:v>
                </c:pt>
                <c:pt idx="12">
                  <c:v>3.4663963720886302</c:v>
                </c:pt>
                <c:pt idx="13">
                  <c:v>7.7483289451254844</c:v>
                </c:pt>
                <c:pt idx="14">
                  <c:v>14.506995096181976</c:v>
                </c:pt>
              </c:numCache>
            </c:numRef>
          </c:yVal>
          <c:smooth val="0"/>
        </c:ser>
        <c:dLbls>
          <c:showLegendKey val="0"/>
          <c:showVal val="0"/>
          <c:showCatName val="0"/>
          <c:showSerName val="0"/>
          <c:showPercent val="0"/>
          <c:showBubbleSize val="0"/>
        </c:dLbls>
        <c:axId val="113595904"/>
        <c:axId val="113597440"/>
      </c:scatterChart>
      <c:valAx>
        <c:axId val="113595904"/>
        <c:scaling>
          <c:orientation val="minMax"/>
          <c:max val="1000"/>
        </c:scaling>
        <c:delete val="0"/>
        <c:axPos val="b"/>
        <c:numFmt formatCode="General" sourceLinked="1"/>
        <c:majorTickMark val="out"/>
        <c:minorTickMark val="none"/>
        <c:tickLblPos val="nextTo"/>
        <c:crossAx val="113597440"/>
        <c:crosses val="autoZero"/>
        <c:crossBetween val="midCat"/>
      </c:valAx>
      <c:valAx>
        <c:axId val="113597440"/>
        <c:scaling>
          <c:orientation val="minMax"/>
        </c:scaling>
        <c:delete val="0"/>
        <c:axPos val="l"/>
        <c:majorGridlines/>
        <c:numFmt formatCode="General" sourceLinked="1"/>
        <c:majorTickMark val="out"/>
        <c:minorTickMark val="none"/>
        <c:tickLblPos val="nextTo"/>
        <c:crossAx val="113595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6493897000739"/>
          <c:y val="6.5289442986293383E-2"/>
          <c:w val="0.76721377060877094"/>
          <c:h val="0.77936224900127693"/>
        </c:manualLayout>
      </c:layout>
      <c:scatterChart>
        <c:scatterStyle val="smoothMarker"/>
        <c:varyColors val="0"/>
        <c:ser>
          <c:idx val="0"/>
          <c:order val="0"/>
          <c:tx>
            <c:strRef>
              <c:f>'Figure 2,3 table'!$N$6</c:f>
              <c:strCache>
                <c:ptCount val="1"/>
                <c:pt idx="0">
                  <c:v>R(Ω/km) </c:v>
                </c:pt>
              </c:strCache>
            </c:strRef>
          </c:tx>
          <c:xVal>
            <c:numRef>
              <c:f>'Figure 2,3 table'!$M$7:$M$20</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'Figure 2,3 table'!$N$7:$N$20</c:f>
              <c:numCache>
                <c:formatCode>0.0000</c:formatCode>
                <c:ptCount val="14"/>
                <c:pt idx="0">
                  <c:v>0.78250474284052596</c:v>
                </c:pt>
                <c:pt idx="1">
                  <c:v>0.88627016306908335</c:v>
                </c:pt>
                <c:pt idx="2">
                  <c:v>1.0467691480549888</c:v>
                </c:pt>
                <c:pt idx="3">
                  <c:v>1.149152551526726</c:v>
                </c:pt>
                <c:pt idx="4">
                  <c:v>1.2681610511231591</c:v>
                </c:pt>
                <c:pt idx="5">
                  <c:v>1.3037100378555315</c:v>
                </c:pt>
                <c:pt idx="6">
                  <c:v>1.461407270506526</c:v>
                </c:pt>
                <c:pt idx="7">
                  <c:v>1.5340192847092298</c:v>
                </c:pt>
                <c:pt idx="8">
                  <c:v>1.6416855214202462</c:v>
                </c:pt>
                <c:pt idx="9">
                  <c:v>1.6363195477426131</c:v>
                </c:pt>
                <c:pt idx="10">
                  <c:v>1.8217952639726704</c:v>
                </c:pt>
                <c:pt idx="11">
                  <c:v>2.2490116913648146</c:v>
                </c:pt>
                <c:pt idx="12">
                  <c:v>2.6073763334209072</c:v>
                </c:pt>
                <c:pt idx="13">
                  <c:v>2.7567204078278147</c:v>
                </c:pt>
              </c:numCache>
            </c:numRef>
          </c:yVal>
          <c:smooth val="1"/>
        </c:ser>
        <c:ser>
          <c:idx val="1"/>
          <c:order val="1"/>
          <c:tx>
            <c:strRef>
              <c:f>'Figure 2,3 table'!$O$6</c:f>
              <c:strCache>
                <c:ptCount val="1"/>
                <c:pt idx="0">
                  <c:v>L(mH/km) </c:v>
                </c:pt>
              </c:strCache>
            </c:strRef>
          </c:tx>
          <c:xVal>
            <c:numRef>
              <c:f>'Figure 2,3 table'!$M$7:$M$20</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'Figure 2,3 table'!$O$7:$O$20</c:f>
              <c:numCache>
                <c:formatCode>0.0000</c:formatCode>
                <c:ptCount val="14"/>
                <c:pt idx="0">
                  <c:v>2.4163878011734661</c:v>
                </c:pt>
                <c:pt idx="1">
                  <c:v>2.776783551359217</c:v>
                </c:pt>
                <c:pt idx="2">
                  <c:v>2.5868835571986137</c:v>
                </c:pt>
                <c:pt idx="3">
                  <c:v>2.4018428137781367</c:v>
                </c:pt>
                <c:pt idx="4">
                  <c:v>2.3436746540288791</c:v>
                </c:pt>
                <c:pt idx="5">
                  <c:v>2.2993157995762634</c:v>
                </c:pt>
                <c:pt idx="6">
                  <c:v>2.1916636529637503</c:v>
                </c:pt>
                <c:pt idx="7">
                  <c:v>2.1524895971967344</c:v>
                </c:pt>
                <c:pt idx="8">
                  <c:v>2.0344277555581063</c:v>
                </c:pt>
                <c:pt idx="9">
                  <c:v>2.033295557725376</c:v>
                </c:pt>
                <c:pt idx="10">
                  <c:v>2.0025729318476171</c:v>
                </c:pt>
                <c:pt idx="11">
                  <c:v>1.8502047648568973</c:v>
                </c:pt>
                <c:pt idx="12">
                  <c:v>1.7618079045069739</c:v>
                </c:pt>
                <c:pt idx="13">
                  <c:v>1.5124566751552309</c:v>
                </c:pt>
              </c:numCache>
            </c:numRef>
          </c:yVal>
          <c:smooth val="1"/>
        </c:ser>
        <c:dLbls>
          <c:showLegendKey val="0"/>
          <c:showVal val="0"/>
          <c:showCatName val="0"/>
          <c:showSerName val="0"/>
          <c:showPercent val="0"/>
          <c:showBubbleSize val="0"/>
        </c:dLbls>
        <c:axId val="111057152"/>
        <c:axId val="113197440"/>
      </c:scatterChart>
      <c:valAx>
        <c:axId val="111057152"/>
        <c:scaling>
          <c:orientation val="minMax"/>
          <c:max val="5000"/>
        </c:scaling>
        <c:delete val="0"/>
        <c:axPos val="b"/>
        <c:title>
          <c:tx>
            <c:rich>
              <a:bodyPr/>
              <a:lstStyle/>
              <a:p>
                <a:pPr>
                  <a:defRPr/>
                </a:pPr>
                <a:r>
                  <a:rPr lang="en-US"/>
                  <a:t>Freq (Hz)</a:t>
                </a:r>
              </a:p>
            </c:rich>
          </c:tx>
          <c:layout/>
          <c:overlay val="0"/>
        </c:title>
        <c:numFmt formatCode="General" sourceLinked="1"/>
        <c:majorTickMark val="out"/>
        <c:minorTickMark val="none"/>
        <c:tickLblPos val="nextTo"/>
        <c:txPr>
          <a:bodyPr/>
          <a:lstStyle/>
          <a:p>
            <a:pPr>
              <a:defRPr b="1"/>
            </a:pPr>
            <a:endParaRPr lang="en-US"/>
          </a:p>
        </c:txPr>
        <c:crossAx val="113197440"/>
        <c:crosses val="autoZero"/>
        <c:crossBetween val="midCat"/>
      </c:valAx>
      <c:valAx>
        <c:axId val="113197440"/>
        <c:scaling>
          <c:orientation val="minMax"/>
        </c:scaling>
        <c:delete val="0"/>
        <c:axPos val="l"/>
        <c:majorGridlines/>
        <c:title>
          <c:tx>
            <c:rich>
              <a:bodyPr rot="-5400000" vert="horz"/>
              <a:lstStyle/>
              <a:p>
                <a:pPr>
                  <a:defRPr/>
                </a:pPr>
                <a:r>
                  <a:rPr lang="en-US"/>
                  <a:t>Resistance and Inductance</a:t>
                </a:r>
              </a:p>
            </c:rich>
          </c:tx>
          <c:layout/>
          <c:overlay val="0"/>
        </c:title>
        <c:numFmt formatCode="0.0" sourceLinked="0"/>
        <c:majorTickMark val="out"/>
        <c:minorTickMark val="none"/>
        <c:tickLblPos val="nextTo"/>
        <c:txPr>
          <a:bodyPr/>
          <a:lstStyle/>
          <a:p>
            <a:pPr>
              <a:defRPr b="1"/>
            </a:pPr>
            <a:endParaRPr lang="en-US"/>
          </a:p>
        </c:txPr>
        <c:crossAx val="111057152"/>
        <c:crosses val="autoZero"/>
        <c:crossBetween val="midCat"/>
      </c:valAx>
    </c:plotArea>
    <c:legend>
      <c:legendPos val="r"/>
      <c:layout>
        <c:manualLayout>
          <c:xMode val="edge"/>
          <c:yMode val="edge"/>
          <c:x val="0.47310068037611802"/>
          <c:y val="0.5366531787693205"/>
          <c:w val="0.20926918945258424"/>
          <c:h val="0.13757801751857787"/>
        </c:manualLayout>
      </c:layout>
      <c:overlay val="0"/>
      <c:spPr>
        <a:solidFill>
          <a:schemeClr val="bg1"/>
        </a:solidFill>
        <a:ln>
          <a:solidFill>
            <a:schemeClr val="accent1"/>
          </a:solidFill>
        </a:ln>
      </c:spPr>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41907261592302"/>
          <c:y val="9.7696850393700782E-2"/>
          <c:w val="0.7699698162729659"/>
          <c:h val="0.78632327209098862"/>
        </c:manualLayout>
      </c:layout>
      <c:scatterChart>
        <c:scatterStyle val="smoothMarker"/>
        <c:varyColors val="0"/>
        <c:ser>
          <c:idx val="1"/>
          <c:order val="0"/>
          <c:tx>
            <c:strRef>
              <c:f>'Figure 2,3 table'!$O$25</c:f>
              <c:strCache>
                <c:ptCount val="1"/>
                <c:pt idx="0">
                  <c:v>C(μF/km)</c:v>
                </c:pt>
              </c:strCache>
            </c:strRef>
          </c:tx>
          <c:xVal>
            <c:numRef>
              <c:f>'Figure 2,3 table'!$M$26:$M$39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'Figure 2,3 table'!$O$26:$O$39</c:f>
              <c:numCache>
                <c:formatCode>0.0000</c:formatCode>
                <c:ptCount val="14"/>
                <c:pt idx="0">
                  <c:v>270.55840469146642</c:v>
                </c:pt>
                <c:pt idx="1">
                  <c:v>70.103545592588205</c:v>
                </c:pt>
                <c:pt idx="2">
                  <c:v>37.103040991832991</c:v>
                </c:pt>
                <c:pt idx="3">
                  <c:v>27.426752574211999</c:v>
                </c:pt>
                <c:pt idx="4">
                  <c:v>16.247083297216509</c:v>
                </c:pt>
                <c:pt idx="5">
                  <c:v>19.178728542483707</c:v>
                </c:pt>
                <c:pt idx="6">
                  <c:v>13.746871367132369</c:v>
                </c:pt>
                <c:pt idx="7">
                  <c:v>13.047363572010624</c:v>
                </c:pt>
                <c:pt idx="8">
                  <c:v>12.686007674586779</c:v>
                </c:pt>
                <c:pt idx="9">
                  <c:v>7.2234509147227284</c:v>
                </c:pt>
                <c:pt idx="10">
                  <c:v>5.6443487474214749</c:v>
                </c:pt>
                <c:pt idx="11">
                  <c:v>1.4800811585930198</c:v>
                </c:pt>
                <c:pt idx="12">
                  <c:v>0.8044386910158805</c:v>
                </c:pt>
                <c:pt idx="13">
                  <c:v>0.18725433809880823</c:v>
                </c:pt>
              </c:numCache>
            </c:numRef>
          </c:yVal>
          <c:smooth val="1"/>
        </c:ser>
        <c:dLbls>
          <c:showLegendKey val="0"/>
          <c:showVal val="0"/>
          <c:showCatName val="0"/>
          <c:showSerName val="0"/>
          <c:showPercent val="0"/>
          <c:showBubbleSize val="0"/>
        </c:dLbls>
        <c:axId val="113238400"/>
        <c:axId val="113239936"/>
      </c:scatterChart>
      <c:valAx>
        <c:axId val="113238400"/>
        <c:scaling>
          <c:orientation val="minMax"/>
          <c:max val="5000"/>
          <c:min val="0"/>
        </c:scaling>
        <c:delete val="0"/>
        <c:axPos val="b"/>
        <c:numFmt formatCode="General" sourceLinked="1"/>
        <c:majorTickMark val="out"/>
        <c:minorTickMark val="none"/>
        <c:tickLblPos val="nextTo"/>
        <c:txPr>
          <a:bodyPr/>
          <a:lstStyle/>
          <a:p>
            <a:pPr>
              <a:defRPr b="1"/>
            </a:pPr>
            <a:endParaRPr lang="en-US"/>
          </a:p>
        </c:txPr>
        <c:crossAx val="113239936"/>
        <c:crosses val="autoZero"/>
        <c:crossBetween val="midCat"/>
        <c:majorUnit val="1000"/>
      </c:valAx>
      <c:valAx>
        <c:axId val="113239936"/>
        <c:scaling>
          <c:orientation val="minMax"/>
        </c:scaling>
        <c:delete val="0"/>
        <c:axPos val="l"/>
        <c:majorGridlines/>
        <c:numFmt formatCode="0" sourceLinked="0"/>
        <c:majorTickMark val="out"/>
        <c:minorTickMark val="none"/>
        <c:tickLblPos val="nextTo"/>
        <c:txPr>
          <a:bodyPr/>
          <a:lstStyle/>
          <a:p>
            <a:pPr>
              <a:defRPr b="1"/>
            </a:pPr>
            <a:endParaRPr lang="en-US"/>
          </a:p>
        </c:txPr>
        <c:crossAx val="113238400"/>
        <c:crosses val="autoZero"/>
        <c:crossBetween val="midCat"/>
      </c:valAx>
    </c:plotArea>
    <c:legend>
      <c:legendPos val="r"/>
      <c:layout>
        <c:manualLayout>
          <c:xMode val="edge"/>
          <c:yMode val="edge"/>
          <c:x val="0.36046394935927129"/>
          <c:y val="0.40721529600466611"/>
          <c:w val="0.49019607843137253"/>
          <c:h val="0.14198745990084571"/>
        </c:manualLayout>
      </c:layout>
      <c:overlay val="0"/>
      <c:spPr>
        <a:solidFill>
          <a:schemeClr val="bg1"/>
        </a:solidFill>
        <a:ln>
          <a:solidFill>
            <a:schemeClr val="accent1"/>
          </a:solidFill>
        </a:ln>
      </c:spPr>
      <c:txPr>
        <a:bodyPr/>
        <a:lstStyle/>
        <a:p>
          <a:pPr>
            <a:defRPr sz="1600" b="1"/>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45014631791716"/>
          <c:y val="0.10221092155147274"/>
          <c:w val="0.75060870516185463"/>
          <c:h val="0.77254994167395741"/>
        </c:manualLayout>
      </c:layout>
      <c:scatterChart>
        <c:scatterStyle val="smoothMarker"/>
        <c:varyColors val="0"/>
        <c:ser>
          <c:idx val="0"/>
          <c:order val="0"/>
          <c:tx>
            <c:strRef>
              <c:f>'Figure 2,3 table'!$N$25</c:f>
              <c:strCache>
                <c:ptCount val="1"/>
                <c:pt idx="0">
                  <c:v>R(Ω-km) </c:v>
                </c:pt>
              </c:strCache>
            </c:strRef>
          </c:tx>
          <c:xVal>
            <c:numRef>
              <c:f>'Figure 2,3 table'!$M$26:$M$39</c:f>
              <c:numCache>
                <c:formatCode>General</c:formatCode>
                <c:ptCount val="14"/>
                <c:pt idx="0">
                  <c:v>20</c:v>
                </c:pt>
                <c:pt idx="1">
                  <c:v>50</c:v>
                </c:pt>
                <c:pt idx="2">
                  <c:v>75</c:v>
                </c:pt>
                <c:pt idx="3">
                  <c:v>100</c:v>
                </c:pt>
                <c:pt idx="4">
                  <c:v>125</c:v>
                </c:pt>
                <c:pt idx="5">
                  <c:v>150</c:v>
                </c:pt>
                <c:pt idx="6">
                  <c:v>175</c:v>
                </c:pt>
                <c:pt idx="7">
                  <c:v>200</c:v>
                </c:pt>
                <c:pt idx="8">
                  <c:v>250</c:v>
                </c:pt>
                <c:pt idx="9">
                  <c:v>275</c:v>
                </c:pt>
                <c:pt idx="10">
                  <c:v>300</c:v>
                </c:pt>
                <c:pt idx="11">
                  <c:v>500</c:v>
                </c:pt>
                <c:pt idx="12">
                  <c:v>1000</c:v>
                </c:pt>
                <c:pt idx="13">
                  <c:v>5000</c:v>
                </c:pt>
              </c:numCache>
            </c:numRef>
          </c:xVal>
          <c:yVal>
            <c:numRef>
              <c:f>'Figure 2,3 table'!$N$26:$N$39</c:f>
              <c:numCache>
                <c:formatCode>0.0000</c:formatCode>
                <c:ptCount val="14"/>
                <c:pt idx="0">
                  <c:v>8.0370472453982114</c:v>
                </c:pt>
                <c:pt idx="1">
                  <c:v>7.2781115762753883</c:v>
                </c:pt>
                <c:pt idx="2">
                  <c:v>7.1241150810850291</c:v>
                </c:pt>
                <c:pt idx="3">
                  <c:v>7.0199923248611515</c:v>
                </c:pt>
                <c:pt idx="4">
                  <c:v>6.9393370787648676</c:v>
                </c:pt>
                <c:pt idx="5">
                  <c:v>6.9404252107002478</c:v>
                </c:pt>
                <c:pt idx="6">
                  <c:v>6.8522930645617466</c:v>
                </c:pt>
                <c:pt idx="7">
                  <c:v>6.7904279662541542</c:v>
                </c:pt>
                <c:pt idx="8">
                  <c:v>6.7683045714629166</c:v>
                </c:pt>
                <c:pt idx="9">
                  <c:v>6.6552024761379478</c:v>
                </c:pt>
                <c:pt idx="10">
                  <c:v>6.4759396245878911</c:v>
                </c:pt>
                <c:pt idx="11">
                  <c:v>6.2092831787393914</c:v>
                </c:pt>
                <c:pt idx="12">
                  <c:v>6.1054955100020747</c:v>
                </c:pt>
                <c:pt idx="13">
                  <c:v>5.4989551808876795</c:v>
                </c:pt>
              </c:numCache>
            </c:numRef>
          </c:yVal>
          <c:smooth val="1"/>
        </c:ser>
        <c:dLbls>
          <c:showLegendKey val="0"/>
          <c:showVal val="0"/>
          <c:showCatName val="0"/>
          <c:showSerName val="0"/>
          <c:showPercent val="0"/>
          <c:showBubbleSize val="0"/>
        </c:dLbls>
        <c:axId val="113673728"/>
        <c:axId val="113675264"/>
      </c:scatterChart>
      <c:valAx>
        <c:axId val="113673728"/>
        <c:scaling>
          <c:orientation val="minMax"/>
          <c:max val="5000"/>
          <c:min val="0"/>
        </c:scaling>
        <c:delete val="0"/>
        <c:axPos val="b"/>
        <c:numFmt formatCode="General" sourceLinked="1"/>
        <c:majorTickMark val="out"/>
        <c:minorTickMark val="none"/>
        <c:tickLblPos val="nextTo"/>
        <c:txPr>
          <a:bodyPr/>
          <a:lstStyle/>
          <a:p>
            <a:pPr>
              <a:defRPr b="1"/>
            </a:pPr>
            <a:endParaRPr lang="en-US"/>
          </a:p>
        </c:txPr>
        <c:crossAx val="113675264"/>
        <c:crosses val="autoZero"/>
        <c:crossBetween val="midCat"/>
        <c:majorUnit val="1000"/>
      </c:valAx>
      <c:valAx>
        <c:axId val="113675264"/>
        <c:scaling>
          <c:orientation val="minMax"/>
          <c:min val="5"/>
        </c:scaling>
        <c:delete val="0"/>
        <c:axPos val="l"/>
        <c:majorGridlines/>
        <c:numFmt formatCode="0.0" sourceLinked="0"/>
        <c:majorTickMark val="out"/>
        <c:minorTickMark val="none"/>
        <c:tickLblPos val="nextTo"/>
        <c:txPr>
          <a:bodyPr/>
          <a:lstStyle/>
          <a:p>
            <a:pPr>
              <a:defRPr b="1"/>
            </a:pPr>
            <a:endParaRPr lang="en-US"/>
          </a:p>
        </c:txPr>
        <c:crossAx val="113673728"/>
        <c:crosses val="autoZero"/>
        <c:crossBetween val="midCat"/>
      </c:valAx>
    </c:plotArea>
    <c:legend>
      <c:legendPos val="r"/>
      <c:layout>
        <c:manualLayout>
          <c:xMode val="edge"/>
          <c:yMode val="edge"/>
          <c:x val="0.30165625848493077"/>
          <c:y val="0.37706510644502772"/>
          <c:w val="0.53579589907583391"/>
          <c:h val="0.16242089530475357"/>
        </c:manualLayout>
      </c:layout>
      <c:overlay val="0"/>
      <c:spPr>
        <a:solidFill>
          <a:schemeClr val="bg1"/>
        </a:solidFill>
        <a:ln>
          <a:solidFill>
            <a:schemeClr val="accent1"/>
          </a:solidFill>
        </a:ln>
      </c:spPr>
      <c:txPr>
        <a:bodyPr/>
        <a:lstStyle/>
        <a:p>
          <a:pPr>
            <a:defRPr sz="1600" b="1"/>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5027345515459"/>
          <c:y val="4.2298009680256522E-2"/>
          <c:w val="0.86176860593847571"/>
          <c:h val="0.81015012012387344"/>
        </c:manualLayout>
      </c:layout>
      <c:scatterChart>
        <c:scatterStyle val="lineMarker"/>
        <c:varyColors val="0"/>
        <c:ser>
          <c:idx val="0"/>
          <c:order val="0"/>
          <c:spPr>
            <a:ln w="28575">
              <a:noFill/>
            </a:ln>
          </c:spPr>
          <c:dPt>
            <c:idx val="3"/>
            <c:bubble3D val="0"/>
          </c:dPt>
          <c:dPt>
            <c:idx val="4"/>
            <c:marker>
              <c:symbol val="triangle"/>
              <c:size val="7"/>
              <c:spPr>
                <a:solidFill>
                  <a:srgbClr val="FF0000"/>
                </a:solidFill>
              </c:spPr>
            </c:marker>
            <c:bubble3D val="0"/>
          </c:dPt>
          <c:dPt>
            <c:idx val="8"/>
            <c:marker>
              <c:symbol val="diamond"/>
              <c:size val="7"/>
            </c:marker>
            <c:bubble3D val="0"/>
          </c:dPt>
          <c:dPt>
            <c:idx val="13"/>
            <c:marker>
              <c:symbol val="triangle"/>
              <c:size val="7"/>
              <c:spPr>
                <a:solidFill>
                  <a:srgbClr val="FF0000"/>
                </a:solidFill>
              </c:spPr>
            </c:marker>
            <c:bubble3D val="0"/>
          </c:dPt>
          <c:dPt>
            <c:idx val="14"/>
            <c:marker>
              <c:symbol val="triangle"/>
              <c:size val="7"/>
              <c:spPr>
                <a:solidFill>
                  <a:srgbClr val="FF0000"/>
                </a:solidFill>
              </c:spPr>
            </c:marker>
            <c:bubble3D val="0"/>
          </c:dPt>
          <c:dPt>
            <c:idx val="15"/>
            <c:marker>
              <c:symbol val="triangle"/>
              <c:size val="7"/>
              <c:spPr>
                <a:solidFill>
                  <a:srgbClr val="FF0000"/>
                </a:solidFill>
              </c:spPr>
            </c:marker>
            <c:bubble3D val="0"/>
          </c:dPt>
          <c:dPt>
            <c:idx val="16"/>
            <c:marker>
              <c:symbol val="triangle"/>
              <c:size val="7"/>
              <c:spPr>
                <a:solidFill>
                  <a:srgbClr val="FF0000"/>
                </a:solidFill>
              </c:spPr>
            </c:marker>
            <c:bubble3D val="0"/>
          </c:dPt>
          <c:dPt>
            <c:idx val="18"/>
            <c:marker>
              <c:symbol val="triangle"/>
              <c:size val="7"/>
              <c:spPr>
                <a:solidFill>
                  <a:srgbClr val="FF0000"/>
                </a:solidFill>
              </c:spPr>
            </c:marker>
            <c:bubble3D val="0"/>
          </c:dPt>
          <c:dPt>
            <c:idx val="19"/>
            <c:marker>
              <c:symbol val="triangle"/>
              <c:size val="7"/>
              <c:spPr>
                <a:solidFill>
                  <a:srgbClr val="FF0000"/>
                </a:solidFill>
              </c:spPr>
            </c:marker>
            <c:bubble3D val="0"/>
          </c:dPt>
          <c:dPt>
            <c:idx val="20"/>
            <c:marker>
              <c:symbol val="triangle"/>
              <c:size val="7"/>
              <c:spPr>
                <a:solidFill>
                  <a:srgbClr val="FF0000"/>
                </a:solidFill>
              </c:spPr>
            </c:marker>
            <c:bubble3D val="0"/>
          </c:dPt>
          <c:dPt>
            <c:idx val="21"/>
            <c:marker>
              <c:symbol val="triangle"/>
              <c:size val="7"/>
              <c:spPr>
                <a:solidFill>
                  <a:srgbClr val="FF0000"/>
                </a:solidFill>
              </c:spPr>
            </c:marker>
            <c:bubble3D val="0"/>
          </c:dPt>
          <c:dPt>
            <c:idx val="22"/>
            <c:marker>
              <c:symbol val="triangle"/>
              <c:size val="7"/>
              <c:spPr>
                <a:solidFill>
                  <a:srgbClr val="FF0000"/>
                </a:solidFill>
              </c:spPr>
            </c:marker>
            <c:bubble3D val="0"/>
          </c:dPt>
          <c:dPt>
            <c:idx val="23"/>
            <c:marker>
              <c:symbol val="triangle"/>
              <c:size val="7"/>
              <c:spPr>
                <a:solidFill>
                  <a:srgbClr val="FF0000"/>
                </a:solidFill>
              </c:spPr>
            </c:marker>
            <c:bubble3D val="0"/>
          </c:dPt>
          <c:dPt>
            <c:idx val="24"/>
            <c:marker>
              <c:symbol val="triangle"/>
              <c:size val="7"/>
              <c:spPr>
                <a:solidFill>
                  <a:srgbClr val="FF0000"/>
                </a:solidFill>
              </c:spPr>
            </c:marker>
            <c:bubble3D val="0"/>
          </c:dPt>
          <c:dPt>
            <c:idx val="25"/>
            <c:marker>
              <c:symbol val="triangle"/>
              <c:size val="7"/>
              <c:spPr>
                <a:solidFill>
                  <a:srgbClr val="FF0000"/>
                </a:solidFill>
              </c:spPr>
            </c:marker>
            <c:bubble3D val="0"/>
          </c:dPt>
          <c:xVal>
            <c:numRef>
              <c:f>'Rail AND Ballast Regression'!$Z$6:$Z$31</c:f>
              <c:numCache>
                <c:formatCode>General</c:formatCode>
                <c:ptCount val="26"/>
                <c:pt idx="0">
                  <c:v>0.3054255659220057</c:v>
                </c:pt>
                <c:pt idx="1">
                  <c:v>0.87744678979605772</c:v>
                </c:pt>
                <c:pt idx="2">
                  <c:v>1.226159312127004</c:v>
                </c:pt>
                <c:pt idx="3">
                  <c:v>1.5179355737055971</c:v>
                </c:pt>
                <c:pt idx="4">
                  <c:v>1.851467501398703</c:v>
                </c:pt>
                <c:pt idx="5">
                  <c:v>2.1797096133884639</c:v>
                </c:pt>
                <c:pt idx="6">
                  <c:v>2.4239335560834241</c:v>
                </c:pt>
                <c:pt idx="7">
                  <c:v>2.7206947206312586</c:v>
                </c:pt>
                <c:pt idx="8">
                  <c:v>3.2143342651116344</c:v>
                </c:pt>
                <c:pt idx="9">
                  <c:v>3.5337999694923088</c:v>
                </c:pt>
                <c:pt idx="10">
                  <c:v>3.7968055295964085</c:v>
                </c:pt>
                <c:pt idx="11">
                  <c:v>5.8465350336521036</c:v>
                </c:pt>
                <c:pt idx="12">
                  <c:v>11.134412614121544</c:v>
                </c:pt>
                <c:pt idx="13">
                  <c:v>0.44998506940151195</c:v>
                </c:pt>
                <c:pt idx="14">
                  <c:v>0.88110791558718238</c:v>
                </c:pt>
                <c:pt idx="15">
                  <c:v>1.2061606036714652</c:v>
                </c:pt>
                <c:pt idx="16">
                  <c:v>1.5164108659173698</c:v>
                </c:pt>
                <c:pt idx="17">
                  <c:v>1.817201562325244</c:v>
                </c:pt>
                <c:pt idx="18">
                  <c:v>2.1112728367818381</c:v>
                </c:pt>
                <c:pt idx="19">
                  <c:v>2.400252460443963</c:v>
                </c:pt>
                <c:pt idx="20">
                  <c:v>2.6852010162696502</c:v>
                </c:pt>
                <c:pt idx="21">
                  <c:v>3.245751349455158</c:v>
                </c:pt>
                <c:pt idx="22">
                  <c:v>3.5222944211360625</c:v>
                </c:pt>
                <c:pt idx="23">
                  <c:v>3.7967989849858581</c:v>
                </c:pt>
                <c:pt idx="24">
                  <c:v>5.9418660873887008</c:v>
                </c:pt>
                <c:pt idx="25">
                  <c:v>11.106428624386742</c:v>
                </c:pt>
              </c:numCache>
            </c:numRef>
          </c:xVal>
          <c:yVal>
            <c:numRef>
              <c:f>'Rail AND Ballast Regression'!$AA$6:$AA$31</c:f>
              <c:numCache>
                <c:formatCode>General</c:formatCode>
                <c:ptCount val="26"/>
                <c:pt idx="0">
                  <c:v>0.78707454535232813</c:v>
                </c:pt>
                <c:pt idx="1">
                  <c:v>0.89144595229513557</c:v>
                </c:pt>
                <c:pt idx="2">
                  <c:v>1.0528822461873968</c:v>
                </c:pt>
                <c:pt idx="3">
                  <c:v>1.1558635654400076</c:v>
                </c:pt>
                <c:pt idx="4">
                  <c:v>1.2755670708435731</c:v>
                </c:pt>
                <c:pt idx="5">
                  <c:v>1.3113236625142499</c:v>
                </c:pt>
                <c:pt idx="6">
                  <c:v>1.4699418419281463</c:v>
                </c:pt>
                <c:pt idx="7">
                  <c:v>1.5429779079566379</c:v>
                </c:pt>
                <c:pt idx="8">
                  <c:v>1.6512729120246084</c:v>
                </c:pt>
                <c:pt idx="9">
                  <c:v>1.6458756012334119</c:v>
                </c:pt>
                <c:pt idx="10">
                  <c:v>1.8324344896763665</c:v>
                </c:pt>
                <c:pt idx="11">
                  <c:v>2.262145847253719</c:v>
                </c:pt>
                <c:pt idx="12">
                  <c:v>2.62260332728478</c:v>
                </c:pt>
                <c:pt idx="13">
                  <c:v>0.78645258199366475</c:v>
                </c:pt>
                <c:pt idx="14">
                  <c:v>0.97696391079457934</c:v>
                </c:pt>
                <c:pt idx="15">
                  <c:v>1.0934571458224709</c:v>
                </c:pt>
                <c:pt idx="16">
                  <c:v>1.1916654858494082</c:v>
                </c:pt>
                <c:pt idx="17">
                  <c:v>1.278188770332642</c:v>
                </c:pt>
                <c:pt idx="18">
                  <c:v>1.3564117987505688</c:v>
                </c:pt>
                <c:pt idx="19">
                  <c:v>1.4283452972512427</c:v>
                </c:pt>
                <c:pt idx="20">
                  <c:v>1.4952993651548123</c:v>
                </c:pt>
                <c:pt idx="21">
                  <c:v>1.6176617675320668</c:v>
                </c:pt>
                <c:pt idx="22">
                  <c:v>1.6742328484375837</c:v>
                </c:pt>
                <c:pt idx="23">
                  <c:v>1.728285835210595</c:v>
                </c:pt>
                <c:pt idx="24">
                  <c:v>2.0977490842309376</c:v>
                </c:pt>
                <c:pt idx="25">
                  <c:v>2.7766950786297873</c:v>
                </c:pt>
              </c:numCache>
            </c:numRef>
          </c:yVal>
          <c:smooth val="0"/>
        </c:ser>
        <c:dLbls>
          <c:showLegendKey val="0"/>
          <c:showVal val="0"/>
          <c:showCatName val="0"/>
          <c:showSerName val="0"/>
          <c:showPercent val="0"/>
          <c:showBubbleSize val="0"/>
        </c:dLbls>
        <c:axId val="113405952"/>
        <c:axId val="113407872"/>
      </c:scatterChart>
      <c:valAx>
        <c:axId val="113405952"/>
        <c:scaling>
          <c:orientation val="minMax"/>
        </c:scaling>
        <c:delete val="0"/>
        <c:axPos val="b"/>
        <c:title>
          <c:tx>
            <c:rich>
              <a:bodyPr/>
              <a:lstStyle/>
              <a:p>
                <a:pPr>
                  <a:defRPr/>
                </a:pPr>
                <a:r>
                  <a:rPr lang="en-US"/>
                  <a:t>Imaginary Component, Inductive Reactance, </a:t>
                </a:r>
                <a:r>
                  <a:rPr lang="el-GR">
                    <a:latin typeface="Calibri"/>
                  </a:rPr>
                  <a:t>Ω</a:t>
                </a:r>
                <a:r>
                  <a:rPr lang="en-US">
                    <a:latin typeface="Calibri"/>
                  </a:rPr>
                  <a:t>-km</a:t>
                </a:r>
                <a:endParaRPr lang="en-US"/>
              </a:p>
            </c:rich>
          </c:tx>
          <c:overlay val="0"/>
        </c:title>
        <c:numFmt formatCode="General" sourceLinked="1"/>
        <c:majorTickMark val="out"/>
        <c:minorTickMark val="none"/>
        <c:tickLblPos val="nextTo"/>
        <c:txPr>
          <a:bodyPr/>
          <a:lstStyle/>
          <a:p>
            <a:pPr>
              <a:defRPr b="1"/>
            </a:pPr>
            <a:endParaRPr lang="en-US"/>
          </a:p>
        </c:txPr>
        <c:crossAx val="113407872"/>
        <c:crosses val="autoZero"/>
        <c:crossBetween val="midCat"/>
      </c:valAx>
      <c:valAx>
        <c:axId val="113407872"/>
        <c:scaling>
          <c:orientation val="minMax"/>
        </c:scaling>
        <c:delete val="0"/>
        <c:axPos val="l"/>
        <c:majorGridlines/>
        <c:title>
          <c:tx>
            <c:rich>
              <a:bodyPr rot="-5400000" vert="horz"/>
              <a:lstStyle/>
              <a:p>
                <a:pPr>
                  <a:defRPr/>
                </a:pPr>
                <a:r>
                  <a:rPr lang="en-US"/>
                  <a:t>Real Component, Resistance, </a:t>
                </a:r>
                <a:r>
                  <a:rPr lang="el-GR">
                    <a:latin typeface="Calibri"/>
                  </a:rPr>
                  <a:t>Ω</a:t>
                </a:r>
                <a:r>
                  <a:rPr lang="en-US">
                    <a:latin typeface="Calibri"/>
                  </a:rPr>
                  <a:t>-km</a:t>
                </a:r>
                <a:endParaRPr lang="en-US"/>
              </a:p>
            </c:rich>
          </c:tx>
          <c:layout>
            <c:manualLayout>
              <c:xMode val="edge"/>
              <c:yMode val="edge"/>
              <c:x val="1.7610429028125037E-2"/>
              <c:y val="0.20811370800872114"/>
            </c:manualLayout>
          </c:layout>
          <c:overlay val="0"/>
        </c:title>
        <c:numFmt formatCode="General" sourceLinked="1"/>
        <c:majorTickMark val="out"/>
        <c:minorTickMark val="none"/>
        <c:tickLblPos val="nextTo"/>
        <c:txPr>
          <a:bodyPr/>
          <a:lstStyle/>
          <a:p>
            <a:pPr>
              <a:defRPr b="1"/>
            </a:pPr>
            <a:endParaRPr lang="en-US"/>
          </a:p>
        </c:txPr>
        <c:crossAx val="11340595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33573928258967"/>
          <c:y val="5.1400554097404488E-2"/>
          <c:w val="0.79094203849518818"/>
          <c:h val="0.73444808982210552"/>
        </c:manualLayout>
      </c:layout>
      <c:scatterChart>
        <c:scatterStyle val="lineMarker"/>
        <c:varyColors val="0"/>
        <c:ser>
          <c:idx val="0"/>
          <c:order val="0"/>
          <c:tx>
            <c:strRef>
              <c:f>'Rail AND Ballast Regression'!$F$50</c:f>
              <c:strCache>
                <c:ptCount val="1"/>
                <c:pt idx="0">
                  <c:v>Abs(B)</c:v>
                </c:pt>
              </c:strCache>
            </c:strRef>
          </c:tx>
          <c:spPr>
            <a:ln w="28575">
              <a:noFill/>
            </a:ln>
          </c:spPr>
          <c:xVal>
            <c:numRef>
              <c:f>'Rail AND Ballast Regression'!$E$51:$E$63</c:f>
              <c:numCache>
                <c:formatCode>General</c:formatCode>
                <c:ptCount val="13"/>
                <c:pt idx="0">
                  <c:v>20</c:v>
                </c:pt>
                <c:pt idx="1">
                  <c:v>50</c:v>
                </c:pt>
                <c:pt idx="2">
                  <c:v>75</c:v>
                </c:pt>
                <c:pt idx="3">
                  <c:v>100</c:v>
                </c:pt>
                <c:pt idx="4">
                  <c:v>125</c:v>
                </c:pt>
                <c:pt idx="5">
                  <c:v>150</c:v>
                </c:pt>
                <c:pt idx="6">
                  <c:v>175</c:v>
                </c:pt>
                <c:pt idx="7">
                  <c:v>200</c:v>
                </c:pt>
                <c:pt idx="8">
                  <c:v>250</c:v>
                </c:pt>
                <c:pt idx="9">
                  <c:v>275</c:v>
                </c:pt>
                <c:pt idx="10">
                  <c:v>300</c:v>
                </c:pt>
                <c:pt idx="11">
                  <c:v>500</c:v>
                </c:pt>
                <c:pt idx="12">
                  <c:v>1000</c:v>
                </c:pt>
              </c:numCache>
            </c:numRef>
          </c:xVal>
          <c:yVal>
            <c:numRef>
              <c:f>'Rail AND Ballast Regression'!$F$51:$F$63</c:f>
              <c:numCache>
                <c:formatCode>General</c:formatCode>
                <c:ptCount val="13"/>
                <c:pt idx="0">
                  <c:v>7.7078004628265697</c:v>
                </c:pt>
                <c:pt idx="1">
                  <c:v>7.1446522571866975</c:v>
                </c:pt>
                <c:pt idx="2">
                  <c:v>7.0284373770261732</c:v>
                </c:pt>
                <c:pt idx="3">
                  <c:v>6.9287183519142692</c:v>
                </c:pt>
                <c:pt idx="4">
                  <c:v>6.8721574846497919</c:v>
                </c:pt>
                <c:pt idx="5">
                  <c:v>6.8464636244171597</c:v>
                </c:pt>
                <c:pt idx="6">
                  <c:v>6.7762576329277611</c:v>
                </c:pt>
                <c:pt idx="7">
                  <c:v>6.7095467362414718</c:v>
                </c:pt>
                <c:pt idx="8">
                  <c:v>6.6686272284461188</c:v>
                </c:pt>
                <c:pt idx="9">
                  <c:v>6.593852906322871</c:v>
                </c:pt>
                <c:pt idx="10">
                  <c:v>6.4231121494458341</c:v>
                </c:pt>
                <c:pt idx="11">
                  <c:v>6.1706603323081062</c:v>
                </c:pt>
                <c:pt idx="12">
                  <c:v>6.0671583520375059</c:v>
                </c:pt>
              </c:numCache>
            </c:numRef>
          </c:yVal>
          <c:smooth val="0"/>
        </c:ser>
        <c:dLbls>
          <c:showLegendKey val="0"/>
          <c:showVal val="0"/>
          <c:showCatName val="0"/>
          <c:showSerName val="0"/>
          <c:showPercent val="0"/>
          <c:showBubbleSize val="0"/>
        </c:dLbls>
        <c:axId val="114383104"/>
        <c:axId val="114389376"/>
      </c:scatterChart>
      <c:valAx>
        <c:axId val="114383104"/>
        <c:scaling>
          <c:orientation val="minMax"/>
          <c:max val="1000"/>
        </c:scaling>
        <c:delete val="0"/>
        <c:axPos val="b"/>
        <c:title>
          <c:tx>
            <c:rich>
              <a:bodyPr/>
              <a:lstStyle/>
              <a:p>
                <a:pPr>
                  <a:defRPr/>
                </a:pPr>
                <a:r>
                  <a:rPr lang="en-US"/>
                  <a:t>Frequency</a:t>
                </a:r>
                <a:r>
                  <a:rPr lang="en-US" baseline="0"/>
                  <a:t> (Hz)</a:t>
                </a:r>
                <a:endParaRPr lang="en-US"/>
              </a:p>
            </c:rich>
          </c:tx>
          <c:overlay val="0"/>
        </c:title>
        <c:numFmt formatCode="General" sourceLinked="1"/>
        <c:majorTickMark val="out"/>
        <c:minorTickMark val="none"/>
        <c:tickLblPos val="nextTo"/>
        <c:txPr>
          <a:bodyPr/>
          <a:lstStyle/>
          <a:p>
            <a:pPr>
              <a:defRPr b="1"/>
            </a:pPr>
            <a:endParaRPr lang="en-US"/>
          </a:p>
        </c:txPr>
        <c:crossAx val="114389376"/>
        <c:crosses val="autoZero"/>
        <c:crossBetween val="midCat"/>
      </c:valAx>
      <c:valAx>
        <c:axId val="114389376"/>
        <c:scaling>
          <c:orientation val="minMax"/>
        </c:scaling>
        <c:delete val="0"/>
        <c:axPos val="l"/>
        <c:majorGridlines/>
        <c:title>
          <c:tx>
            <c:rich>
              <a:bodyPr rot="-5400000" vert="horz"/>
              <a:lstStyle/>
              <a:p>
                <a:pPr>
                  <a:defRPr/>
                </a:pPr>
                <a:r>
                  <a:rPr lang="en-US"/>
                  <a:t>Ballast Impedance, </a:t>
                </a:r>
                <a:r>
                  <a:rPr lang="el-GR">
                    <a:latin typeface="Calibri"/>
                  </a:rPr>
                  <a:t>Ω</a:t>
                </a:r>
                <a:r>
                  <a:rPr lang="en-US">
                    <a:latin typeface="Calibri"/>
                  </a:rPr>
                  <a:t>-km</a:t>
                </a:r>
                <a:endParaRPr lang="en-US"/>
              </a:p>
            </c:rich>
          </c:tx>
          <c:overlay val="0"/>
        </c:title>
        <c:numFmt formatCode="General" sourceLinked="1"/>
        <c:majorTickMark val="out"/>
        <c:minorTickMark val="none"/>
        <c:tickLblPos val="nextTo"/>
        <c:txPr>
          <a:bodyPr/>
          <a:lstStyle/>
          <a:p>
            <a:pPr>
              <a:defRPr b="1"/>
            </a:pPr>
            <a:endParaRPr lang="en-US"/>
          </a:p>
        </c:txPr>
        <c:crossAx val="1143831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jpeg"/><Relationship Id="rId7" Type="http://schemas.openxmlformats.org/officeDocument/2006/relationships/chart" Target="../charts/chart4.xml"/><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8" Type="http://schemas.openxmlformats.org/officeDocument/2006/relationships/image" Target="../media/image11.gif"/><Relationship Id="rId3" Type="http://schemas.openxmlformats.org/officeDocument/2006/relationships/image" Target="../media/image6.emf"/><Relationship Id="rId7" Type="http://schemas.openxmlformats.org/officeDocument/2006/relationships/image" Target="../media/image10.gif"/><Relationship Id="rId2" Type="http://schemas.openxmlformats.org/officeDocument/2006/relationships/image" Target="../media/image8.gif"/><Relationship Id="rId1" Type="http://schemas.openxmlformats.org/officeDocument/2006/relationships/image" Target="../media/image7.jpeg"/><Relationship Id="rId6" Type="http://schemas.openxmlformats.org/officeDocument/2006/relationships/image" Target="../media/image9.png"/><Relationship Id="rId5" Type="http://schemas.openxmlformats.org/officeDocument/2006/relationships/chart" Target="../charts/chart11.xml"/><Relationship Id="rId10" Type="http://schemas.openxmlformats.org/officeDocument/2006/relationships/image" Target="../media/image12.jpeg"/><Relationship Id="rId4" Type="http://schemas.openxmlformats.org/officeDocument/2006/relationships/chart" Target="../charts/chart10.xml"/><Relationship Id="rId9"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jpeg"/><Relationship Id="rId1" Type="http://schemas.openxmlformats.org/officeDocument/2006/relationships/image" Target="../media/image13.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0</xdr:row>
      <xdr:rowOff>0</xdr:rowOff>
    </xdr:from>
    <xdr:to>
      <xdr:col>12</xdr:col>
      <xdr:colOff>1214237</xdr:colOff>
      <xdr:row>7</xdr:row>
      <xdr:rowOff>137160</xdr:rowOff>
    </xdr:to>
    <xdr:pic>
      <xdr:nvPicPr>
        <xdr:cNvPr id="4" name="Picture 3"/>
        <xdr:cNvPicPr>
          <a:picLocks noChangeAspect="1"/>
        </xdr:cNvPicPr>
      </xdr:nvPicPr>
      <xdr:blipFill>
        <a:blip xmlns:r="http://schemas.openxmlformats.org/officeDocument/2006/relationships" r:embed="rId1"/>
        <a:stretch>
          <a:fillRect/>
        </a:stretch>
      </xdr:blipFill>
      <xdr:spPr>
        <a:xfrm>
          <a:off x="7667625" y="0"/>
          <a:ext cx="6553200" cy="1470660"/>
        </a:xfrm>
        <a:prstGeom prst="rect">
          <a:avLst/>
        </a:prstGeom>
      </xdr:spPr>
    </xdr:pic>
    <xdr:clientData/>
  </xdr:twoCellAnchor>
  <xdr:twoCellAnchor editAs="oneCell">
    <xdr:from>
      <xdr:col>6</xdr:col>
      <xdr:colOff>38100</xdr:colOff>
      <xdr:row>7</xdr:row>
      <xdr:rowOff>22593</xdr:rowOff>
    </xdr:from>
    <xdr:to>
      <xdr:col>8</xdr:col>
      <xdr:colOff>2324100</xdr:colOff>
      <xdr:row>15</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356093"/>
          <a:ext cx="7200900" cy="1625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66675</xdr:colOff>
      <xdr:row>9</xdr:row>
      <xdr:rowOff>47625</xdr:rowOff>
    </xdr:from>
    <xdr:to>
      <xdr:col>12</xdr:col>
      <xdr:colOff>301742</xdr:colOff>
      <xdr:row>15</xdr:row>
      <xdr:rowOff>85725</xdr:rowOff>
    </xdr:to>
    <xdr:pic>
      <xdr:nvPicPr>
        <xdr:cNvPr id="5" name="Picture 4"/>
        <xdr:cNvPicPr>
          <a:picLocks noChangeAspect="1"/>
        </xdr:cNvPicPr>
      </xdr:nvPicPr>
      <xdr:blipFill>
        <a:blip xmlns:r="http://schemas.openxmlformats.org/officeDocument/2006/relationships" r:embed="rId3"/>
        <a:stretch>
          <a:fillRect/>
        </a:stretch>
      </xdr:blipFill>
      <xdr:spPr>
        <a:xfrm>
          <a:off x="11353800" y="1762125"/>
          <a:ext cx="5669280" cy="1181100"/>
        </a:xfrm>
        <a:prstGeom prst="rect">
          <a:avLst/>
        </a:prstGeom>
      </xdr:spPr>
    </xdr:pic>
    <xdr:clientData/>
  </xdr:twoCellAnchor>
  <xdr:twoCellAnchor editAs="oneCell">
    <xdr:from>
      <xdr:col>6</xdr:col>
      <xdr:colOff>962025</xdr:colOff>
      <xdr:row>22</xdr:row>
      <xdr:rowOff>133350</xdr:rowOff>
    </xdr:from>
    <xdr:to>
      <xdr:col>6</xdr:col>
      <xdr:colOff>1371601</xdr:colOff>
      <xdr:row>23</xdr:row>
      <xdr:rowOff>285750</xdr:rowOff>
    </xdr:to>
    <xdr:pic>
      <xdr:nvPicPr>
        <xdr:cNvPr id="6" name="Picture 5"/>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5635" t="36923" r="48677" b="41393"/>
        <a:stretch/>
      </xdr:blipFill>
      <xdr:spPr bwMode="auto">
        <a:xfrm>
          <a:off x="4943475" y="4324350"/>
          <a:ext cx="409576"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22</xdr:row>
      <xdr:rowOff>161925</xdr:rowOff>
    </xdr:from>
    <xdr:to>
      <xdr:col>7</xdr:col>
      <xdr:colOff>1390651</xdr:colOff>
      <xdr:row>23</xdr:row>
      <xdr:rowOff>314325</xdr:rowOff>
    </xdr:to>
    <xdr:pic>
      <xdr:nvPicPr>
        <xdr:cNvPr id="7" name="Picture 6"/>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418" t="36923" r="48677" b="41393"/>
        <a:stretch/>
      </xdr:blipFill>
      <xdr:spPr bwMode="auto">
        <a:xfrm>
          <a:off x="7058025" y="4352925"/>
          <a:ext cx="857251"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762001</xdr:colOff>
      <xdr:row>22</xdr:row>
      <xdr:rowOff>142875</xdr:rowOff>
    </xdr:from>
    <xdr:to>
      <xdr:col>8</xdr:col>
      <xdr:colOff>1247775</xdr:colOff>
      <xdr:row>24</xdr:row>
      <xdr:rowOff>0</xdr:rowOff>
    </xdr:to>
    <xdr:pic>
      <xdr:nvPicPr>
        <xdr:cNvPr id="8" name="Picture 7"/>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699" t="76189" r="58008" b="7773"/>
        <a:stretch/>
      </xdr:blipFill>
      <xdr:spPr bwMode="auto">
        <a:xfrm>
          <a:off x="9658351" y="4333875"/>
          <a:ext cx="485774"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9525</xdr:colOff>
      <xdr:row>17</xdr:row>
      <xdr:rowOff>152400</xdr:rowOff>
    </xdr:from>
    <xdr:to>
      <xdr:col>11</xdr:col>
      <xdr:colOff>723900</xdr:colOff>
      <xdr:row>19</xdr:row>
      <xdr:rowOff>66675</xdr:rowOff>
    </xdr:to>
    <xdr:sp macro="" textlink="">
      <xdr:nvSpPr>
        <xdr:cNvPr id="2" name="Left Arrow 1"/>
        <xdr:cNvSpPr/>
      </xdr:nvSpPr>
      <xdr:spPr>
        <a:xfrm rot="20295020">
          <a:off x="13735050" y="3390900"/>
          <a:ext cx="714375" cy="3048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676276</xdr:colOff>
      <xdr:row>15</xdr:row>
      <xdr:rowOff>161925</xdr:rowOff>
    </xdr:from>
    <xdr:to>
      <xdr:col>13</xdr:col>
      <xdr:colOff>161926</xdr:colOff>
      <xdr:row>18</xdr:row>
      <xdr:rowOff>123825</xdr:rowOff>
    </xdr:to>
    <xdr:sp macro="" textlink="">
      <xdr:nvSpPr>
        <xdr:cNvPr id="9" name="TextBox 8"/>
        <xdr:cNvSpPr txBox="1"/>
      </xdr:nvSpPr>
      <xdr:spPr>
        <a:xfrm>
          <a:off x="14401801" y="3019425"/>
          <a:ext cx="29718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just a test of the Excel Functions,</a:t>
          </a:r>
          <a:r>
            <a:rPr lang="en-US" sz="1100" baseline="0"/>
            <a:t> to make sure they are all working properly  :-)</a:t>
          </a:r>
          <a:endParaRPr lang="en-US" sz="1100"/>
        </a:p>
      </xdr:txBody>
    </xdr:sp>
    <xdr:clientData/>
  </xdr:twoCellAnchor>
  <xdr:twoCellAnchor>
    <xdr:from>
      <xdr:col>7</xdr:col>
      <xdr:colOff>28575</xdr:colOff>
      <xdr:row>4</xdr:row>
      <xdr:rowOff>133351</xdr:rowOff>
    </xdr:from>
    <xdr:to>
      <xdr:col>7</xdr:col>
      <xdr:colOff>742950</xdr:colOff>
      <xdr:row>6</xdr:row>
      <xdr:rowOff>57151</xdr:rowOff>
    </xdr:to>
    <xdr:sp macro="" textlink="">
      <xdr:nvSpPr>
        <xdr:cNvPr id="10" name="Left Arrow 9"/>
        <xdr:cNvSpPr/>
      </xdr:nvSpPr>
      <xdr:spPr>
        <a:xfrm rot="13387844">
          <a:off x="6553200" y="895351"/>
          <a:ext cx="714375" cy="3048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1162049</xdr:colOff>
      <xdr:row>1</xdr:row>
      <xdr:rowOff>114300</xdr:rowOff>
    </xdr:from>
    <xdr:to>
      <xdr:col>7</xdr:col>
      <xdr:colOff>2038349</xdr:colOff>
      <xdr:row>4</xdr:row>
      <xdr:rowOff>85725</xdr:rowOff>
    </xdr:to>
    <xdr:sp macro="" textlink="">
      <xdr:nvSpPr>
        <xdr:cNvPr id="11" name="TextBox 10"/>
        <xdr:cNvSpPr txBox="1"/>
      </xdr:nvSpPr>
      <xdr:spPr>
        <a:xfrm>
          <a:off x="5143499" y="304800"/>
          <a:ext cx="34194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e</a:t>
          </a:r>
          <a:r>
            <a:rPr lang="en-US" sz="1100"/>
            <a:t>quations are</a:t>
          </a:r>
          <a:r>
            <a:rPr lang="en-US" sz="1100" baseline="0"/>
            <a:t> from Landau (2015):</a:t>
          </a:r>
        </a:p>
        <a:p>
          <a:r>
            <a:rPr lang="en-US" sz="1100" i="1"/>
            <a:t>Ballast Resistance Measurement—Theory and Practice</a:t>
          </a:r>
        </a:p>
      </xdr:txBody>
    </xdr:sp>
    <xdr:clientData/>
  </xdr:twoCellAnchor>
  <xdr:twoCellAnchor>
    <xdr:from>
      <xdr:col>2</xdr:col>
      <xdr:colOff>195263</xdr:colOff>
      <xdr:row>14</xdr:row>
      <xdr:rowOff>100012</xdr:rowOff>
    </xdr:from>
    <xdr:to>
      <xdr:col>2</xdr:col>
      <xdr:colOff>500063</xdr:colOff>
      <xdr:row>18</xdr:row>
      <xdr:rowOff>42862</xdr:rowOff>
    </xdr:to>
    <xdr:sp macro="" textlink="">
      <xdr:nvSpPr>
        <xdr:cNvPr id="12" name="Left Arrow 11"/>
        <xdr:cNvSpPr/>
      </xdr:nvSpPr>
      <xdr:spPr>
        <a:xfrm rot="15692679">
          <a:off x="1257300" y="2971800"/>
          <a:ext cx="714375" cy="3048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10</xdr:row>
      <xdr:rowOff>76199</xdr:rowOff>
    </xdr:from>
    <xdr:to>
      <xdr:col>5</xdr:col>
      <xdr:colOff>428625</xdr:colOff>
      <xdr:row>14</xdr:row>
      <xdr:rowOff>152400</xdr:rowOff>
    </xdr:to>
    <xdr:sp macro="" textlink="">
      <xdr:nvSpPr>
        <xdr:cNvPr id="13" name="TextBox 12"/>
        <xdr:cNvSpPr txBox="1"/>
      </xdr:nvSpPr>
      <xdr:spPr>
        <a:xfrm>
          <a:off x="209550" y="1981199"/>
          <a:ext cx="3590925" cy="838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Raw Data from</a:t>
          </a:r>
          <a:r>
            <a:rPr lang="en-US" sz="1100" baseline="0"/>
            <a:t> Ivanek et al (2017)</a:t>
          </a:r>
        </a:p>
        <a:p>
          <a:r>
            <a:rPr lang="en-US" sz="1100" i="1"/>
            <a:t>The Sensitivity of the Input Impedance Parameters of Track Circuits to Changes in the Parameters of the Track, </a:t>
          </a:r>
          <a:r>
            <a:rPr lang="en-US" sz="1100" b="1" i="0"/>
            <a:t>Table 3. </a:t>
          </a:r>
          <a:r>
            <a:rPr lang="en-US" sz="1100" b="1" i="0" baseline="0"/>
            <a:t> </a:t>
          </a:r>
          <a:r>
            <a:rPr lang="en-US" sz="1100" b="0" i="0" baseline="0"/>
            <a:t>Note that Table 3 is still for 540 meters track</a:t>
          </a:r>
          <a:endParaRPr lang="en-US" sz="1100" b="0" i="0"/>
        </a:p>
      </xdr:txBody>
    </xdr:sp>
    <xdr:clientData/>
  </xdr:twoCellAnchor>
  <xdr:twoCellAnchor>
    <xdr:from>
      <xdr:col>4</xdr:col>
      <xdr:colOff>252411</xdr:colOff>
      <xdr:row>38</xdr:row>
      <xdr:rowOff>195261</xdr:rowOff>
    </xdr:from>
    <xdr:to>
      <xdr:col>4</xdr:col>
      <xdr:colOff>557211</xdr:colOff>
      <xdr:row>44</xdr:row>
      <xdr:rowOff>128586</xdr:rowOff>
    </xdr:to>
    <xdr:sp macro="" textlink="">
      <xdr:nvSpPr>
        <xdr:cNvPr id="14" name="Left Arrow 13"/>
        <xdr:cNvSpPr/>
      </xdr:nvSpPr>
      <xdr:spPr>
        <a:xfrm rot="4451782">
          <a:off x="2809873" y="7820024"/>
          <a:ext cx="714375" cy="3048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44</xdr:row>
      <xdr:rowOff>47625</xdr:rowOff>
    </xdr:from>
    <xdr:to>
      <xdr:col>6</xdr:col>
      <xdr:colOff>981075</xdr:colOff>
      <xdr:row>47</xdr:row>
      <xdr:rowOff>47625</xdr:rowOff>
    </xdr:to>
    <xdr:sp macro="" textlink="">
      <xdr:nvSpPr>
        <xdr:cNvPr id="15" name="TextBox 14"/>
        <xdr:cNvSpPr txBox="1"/>
      </xdr:nvSpPr>
      <xdr:spPr>
        <a:xfrm>
          <a:off x="1743075" y="8277225"/>
          <a:ext cx="32194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Ivanek says that these</a:t>
          </a:r>
          <a:r>
            <a:rPr lang="en-US" sz="1100" baseline="0"/>
            <a:t> two results might not be valid due to negative Cascade Coefficients. I have however kept them in the data set.</a:t>
          </a:r>
          <a:endParaRPr lang="en-US" sz="1100" b="1" i="0"/>
        </a:p>
      </xdr:txBody>
    </xdr:sp>
    <xdr:clientData/>
  </xdr:twoCellAnchor>
  <xdr:twoCellAnchor>
    <xdr:from>
      <xdr:col>19</xdr:col>
      <xdr:colOff>342900</xdr:colOff>
      <xdr:row>45</xdr:row>
      <xdr:rowOff>80962</xdr:rowOff>
    </xdr:from>
    <xdr:to>
      <xdr:col>27</xdr:col>
      <xdr:colOff>38100</xdr:colOff>
      <xdr:row>59</xdr:row>
      <xdr:rowOff>157162</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485775</xdr:colOff>
      <xdr:row>45</xdr:row>
      <xdr:rowOff>66675</xdr:rowOff>
    </xdr:from>
    <xdr:to>
      <xdr:col>35</xdr:col>
      <xdr:colOff>180975</xdr:colOff>
      <xdr:row>59</xdr:row>
      <xdr:rowOff>142875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390525</xdr:colOff>
      <xdr:row>63</xdr:row>
      <xdr:rowOff>14287</xdr:rowOff>
    </xdr:from>
    <xdr:to>
      <xdr:col>26</xdr:col>
      <xdr:colOff>581025</xdr:colOff>
      <xdr:row>78</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63</xdr:row>
      <xdr:rowOff>0</xdr:rowOff>
    </xdr:from>
    <xdr:to>
      <xdr:col>35</xdr:col>
      <xdr:colOff>190500</xdr:colOff>
      <xdr:row>78</xdr:row>
      <xdr:rowOff>166688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238125</xdr:colOff>
      <xdr:row>51</xdr:row>
      <xdr:rowOff>57150</xdr:rowOff>
    </xdr:from>
    <xdr:to>
      <xdr:col>25</xdr:col>
      <xdr:colOff>0</xdr:colOff>
      <xdr:row>53</xdr:row>
      <xdr:rowOff>47625</xdr:rowOff>
    </xdr:to>
    <xdr:sp macro="" textlink="">
      <xdr:nvSpPr>
        <xdr:cNvPr id="19" name="Oval 18"/>
        <xdr:cNvSpPr/>
      </xdr:nvSpPr>
      <xdr:spPr>
        <a:xfrm>
          <a:off x="28441650" y="9772650"/>
          <a:ext cx="371475" cy="371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485775</xdr:colOff>
      <xdr:row>43</xdr:row>
      <xdr:rowOff>19050</xdr:rowOff>
    </xdr:from>
    <xdr:to>
      <xdr:col>25</xdr:col>
      <xdr:colOff>485775</xdr:colOff>
      <xdr:row>51</xdr:row>
      <xdr:rowOff>0</xdr:rowOff>
    </xdr:to>
    <xdr:cxnSp macro="">
      <xdr:nvCxnSpPr>
        <xdr:cNvPr id="26" name="Straight Arrow Connector 25"/>
        <xdr:cNvCxnSpPr/>
      </xdr:nvCxnSpPr>
      <xdr:spPr>
        <a:xfrm flipH="1">
          <a:off x="28689300" y="8048625"/>
          <a:ext cx="609600"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342900</xdr:colOff>
      <xdr:row>50</xdr:row>
      <xdr:rowOff>76200</xdr:rowOff>
    </xdr:from>
    <xdr:to>
      <xdr:col>23</xdr:col>
      <xdr:colOff>104775</xdr:colOff>
      <xdr:row>52</xdr:row>
      <xdr:rowOff>66675</xdr:rowOff>
    </xdr:to>
    <xdr:sp macro="" textlink="">
      <xdr:nvSpPr>
        <xdr:cNvPr id="30" name="Oval 29"/>
        <xdr:cNvSpPr/>
      </xdr:nvSpPr>
      <xdr:spPr>
        <a:xfrm>
          <a:off x="27327225" y="9601200"/>
          <a:ext cx="371475" cy="371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57150</xdr:colOff>
      <xdr:row>43</xdr:row>
      <xdr:rowOff>28575</xdr:rowOff>
    </xdr:from>
    <xdr:to>
      <xdr:col>25</xdr:col>
      <xdr:colOff>123825</xdr:colOff>
      <xdr:row>50</xdr:row>
      <xdr:rowOff>123825</xdr:rowOff>
    </xdr:to>
    <xdr:cxnSp macro="">
      <xdr:nvCxnSpPr>
        <xdr:cNvPr id="31" name="Straight Arrow Connector 30"/>
        <xdr:cNvCxnSpPr/>
      </xdr:nvCxnSpPr>
      <xdr:spPr>
        <a:xfrm flipH="1">
          <a:off x="27651075" y="8058150"/>
          <a:ext cx="128587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495301</xdr:colOff>
      <xdr:row>40</xdr:row>
      <xdr:rowOff>152400</xdr:rowOff>
    </xdr:from>
    <xdr:to>
      <xdr:col>28</xdr:col>
      <xdr:colOff>85725</xdr:colOff>
      <xdr:row>47</xdr:row>
      <xdr:rowOff>38100</xdr:rowOff>
    </xdr:to>
    <xdr:sp macro="" textlink="">
      <xdr:nvSpPr>
        <xdr:cNvPr id="27" name="TextBox 26"/>
        <xdr:cNvSpPr txBox="1"/>
      </xdr:nvSpPr>
      <xdr:spPr>
        <a:xfrm>
          <a:off x="27460576" y="7991475"/>
          <a:ext cx="3857624"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1"/>
            <a:t>5000 Hz  plots off</a:t>
          </a:r>
          <a:r>
            <a:rPr lang="en-US" sz="1100" i="1" baseline="0"/>
            <a:t> the trend line but  it may also be the 3000 Hz one that is the problem. Not enough data was collected about 1000 Hz to really be too sure which one(s) are correct.</a:t>
          </a:r>
        </a:p>
        <a:p>
          <a:pPr algn="ctr"/>
          <a:endParaRPr lang="en-US" sz="1100" i="1" baseline="0"/>
        </a:p>
        <a:p>
          <a:pPr algn="ctr"/>
          <a:r>
            <a:rPr lang="en-US" sz="1100" b="1" i="1" u="sng" baseline="0"/>
            <a:t>I believe it is the 3000 Hz that should be removed</a:t>
          </a:r>
          <a:endParaRPr lang="en-US" sz="1100" b="1" i="1" u="sng"/>
        </a:p>
      </xdr:txBody>
    </xdr:sp>
    <xdr:clientData/>
  </xdr:twoCellAnchor>
  <xdr:twoCellAnchor>
    <xdr:from>
      <xdr:col>11</xdr:col>
      <xdr:colOff>2780094</xdr:colOff>
      <xdr:row>42</xdr:row>
      <xdr:rowOff>160985</xdr:rowOff>
    </xdr:from>
    <xdr:to>
      <xdr:col>11</xdr:col>
      <xdr:colOff>2937993</xdr:colOff>
      <xdr:row>44</xdr:row>
      <xdr:rowOff>288701</xdr:rowOff>
    </xdr:to>
    <xdr:cxnSp macro="">
      <xdr:nvCxnSpPr>
        <xdr:cNvPr id="33" name="Straight Arrow Connector 32"/>
        <xdr:cNvCxnSpPr/>
      </xdr:nvCxnSpPr>
      <xdr:spPr>
        <a:xfrm flipH="1">
          <a:off x="17322488" y="8290774"/>
          <a:ext cx="157899" cy="5167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2322489</xdr:colOff>
      <xdr:row>39</xdr:row>
      <xdr:rowOff>75393</xdr:rowOff>
    </xdr:from>
    <xdr:to>
      <xdr:col>12</xdr:col>
      <xdr:colOff>2180151</xdr:colOff>
      <xdr:row>43</xdr:row>
      <xdr:rowOff>41989</xdr:rowOff>
    </xdr:to>
    <xdr:sp macro="" textlink="">
      <xdr:nvSpPr>
        <xdr:cNvPr id="35" name="TextBox 34"/>
        <xdr:cNvSpPr txBox="1"/>
      </xdr:nvSpPr>
      <xdr:spPr>
        <a:xfrm>
          <a:off x="16864883" y="7628316"/>
          <a:ext cx="2849317" cy="7312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DC Value is not reported, but a typical value for DC rail impedance is </a:t>
          </a:r>
          <a:r>
            <a:rPr lang="en-US" sz="1100" b="1" i="0" u="none" strike="noStrike">
              <a:solidFill>
                <a:schemeClr val="dk1"/>
              </a:solidFill>
              <a:effectLst/>
              <a:latin typeface="+mn-lt"/>
              <a:ea typeface="+mn-ea"/>
              <a:cs typeface="+mn-cs"/>
            </a:rPr>
            <a:t>0.0184</a:t>
          </a:r>
          <a:r>
            <a:rPr lang="en-US"/>
            <a:t> ohms k-ft.  </a:t>
          </a:r>
          <a:endParaRPr lang="en-US" sz="1100"/>
        </a:p>
      </xdr:txBody>
    </xdr:sp>
    <xdr:clientData/>
  </xdr:twoCellAnchor>
  <xdr:twoCellAnchor editAs="oneCell">
    <xdr:from>
      <xdr:col>12</xdr:col>
      <xdr:colOff>876300</xdr:colOff>
      <xdr:row>1</xdr:row>
      <xdr:rowOff>9525</xdr:rowOff>
    </xdr:from>
    <xdr:to>
      <xdr:col>15</xdr:col>
      <xdr:colOff>573814</xdr:colOff>
      <xdr:row>18</xdr:row>
      <xdr:rowOff>109710</xdr:rowOff>
    </xdr:to>
    <xdr:pic>
      <xdr:nvPicPr>
        <xdr:cNvPr id="29" name="Picture 2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916525" y="200025"/>
          <a:ext cx="4249257" cy="3348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485775</xdr:colOff>
      <xdr:row>21</xdr:row>
      <xdr:rowOff>76200</xdr:rowOff>
    </xdr:from>
    <xdr:to>
      <xdr:col>16</xdr:col>
      <xdr:colOff>123824</xdr:colOff>
      <xdr:row>23</xdr:row>
      <xdr:rowOff>145265</xdr:rowOff>
    </xdr:to>
    <xdr:pic>
      <xdr:nvPicPr>
        <xdr:cNvPr id="28" name="Picture 27"/>
        <xdr:cNvPicPr>
          <a:picLocks noChangeAspect="1"/>
        </xdr:cNvPicPr>
      </xdr:nvPicPr>
      <xdr:blipFill>
        <a:blip xmlns:r="http://schemas.openxmlformats.org/officeDocument/2006/relationships" r:embed="rId9"/>
        <a:stretch>
          <a:fillRect/>
        </a:stretch>
      </xdr:blipFill>
      <xdr:spPr>
        <a:xfrm>
          <a:off x="21059775" y="4095750"/>
          <a:ext cx="857250" cy="459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180975</xdr:colOff>
      <xdr:row>3</xdr:row>
      <xdr:rowOff>166686</xdr:rowOff>
    </xdr:from>
    <xdr:to>
      <xdr:col>23</xdr:col>
      <xdr:colOff>428625</xdr:colOff>
      <xdr:row>20</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495300</xdr:colOff>
      <xdr:row>38</xdr:row>
      <xdr:rowOff>128587</xdr:rowOff>
    </xdr:from>
    <xdr:to>
      <xdr:col>24</xdr:col>
      <xdr:colOff>523875</xdr:colOff>
      <xdr:row>52</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238125</xdr:colOff>
      <xdr:row>38</xdr:row>
      <xdr:rowOff>142875</xdr:rowOff>
    </xdr:from>
    <xdr:to>
      <xdr:col>20</xdr:col>
      <xdr:colOff>285750</xdr:colOff>
      <xdr:row>53</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166687</xdr:colOff>
      <xdr:row>21</xdr:row>
      <xdr:rowOff>14288</xdr:rowOff>
    </xdr:from>
    <xdr:to>
      <xdr:col>6</xdr:col>
      <xdr:colOff>404812</xdr:colOff>
      <xdr:row>24</xdr:row>
      <xdr:rowOff>166688</xdr:rowOff>
    </xdr:to>
    <xdr:sp macro="" textlink="">
      <xdr:nvSpPr>
        <xdr:cNvPr id="6" name="Up Arrow 5"/>
        <xdr:cNvSpPr/>
      </xdr:nvSpPr>
      <xdr:spPr>
        <a:xfrm rot="18518045">
          <a:off x="7543800" y="4133850"/>
          <a:ext cx="723900" cy="8858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2257426</xdr:colOff>
      <xdr:row>20</xdr:row>
      <xdr:rowOff>85725</xdr:rowOff>
    </xdr:from>
    <xdr:to>
      <xdr:col>8</xdr:col>
      <xdr:colOff>666751</xdr:colOff>
      <xdr:row>25</xdr:row>
      <xdr:rowOff>9525</xdr:rowOff>
    </xdr:to>
    <xdr:sp macro="" textlink="">
      <xdr:nvSpPr>
        <xdr:cNvPr id="7" name="Up Arrow 6"/>
        <xdr:cNvSpPr/>
      </xdr:nvSpPr>
      <xdr:spPr>
        <a:xfrm rot="2571469">
          <a:off x="10810876" y="4086225"/>
          <a:ext cx="723900" cy="8858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400050</xdr:colOff>
      <xdr:row>24</xdr:row>
      <xdr:rowOff>38100</xdr:rowOff>
    </xdr:from>
    <xdr:to>
      <xdr:col>7</xdr:col>
      <xdr:colOff>2286000</xdr:colOff>
      <xdr:row>29</xdr:row>
      <xdr:rowOff>95250</xdr:rowOff>
    </xdr:to>
    <xdr:sp macro="" textlink="">
      <xdr:nvSpPr>
        <xdr:cNvPr id="8" name="TextBox 7"/>
        <xdr:cNvSpPr txBox="1"/>
      </xdr:nvSpPr>
      <xdr:spPr>
        <a:xfrm>
          <a:off x="8343900" y="4810125"/>
          <a:ext cx="249555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Input</a:t>
          </a:r>
          <a:r>
            <a:rPr lang="en-US" sz="1100" b="1" baseline="0"/>
            <a:t> Feed Measurements match the calculated values, thereby validating the processing because we can replicate the input measurements by using the true coefficients</a:t>
          </a:r>
          <a:endParaRPr lang="en-US" sz="1100" b="1"/>
        </a:p>
      </xdr:txBody>
    </xdr:sp>
    <xdr:clientData/>
  </xdr:twoCellAnchor>
  <xdr:twoCellAnchor>
    <xdr:from>
      <xdr:col>2</xdr:col>
      <xdr:colOff>366713</xdr:colOff>
      <xdr:row>20</xdr:row>
      <xdr:rowOff>128587</xdr:rowOff>
    </xdr:from>
    <xdr:to>
      <xdr:col>2</xdr:col>
      <xdr:colOff>1090613</xdr:colOff>
      <xdr:row>25</xdr:row>
      <xdr:rowOff>52387</xdr:rowOff>
    </xdr:to>
    <xdr:sp macro="" textlink="">
      <xdr:nvSpPr>
        <xdr:cNvPr id="9" name="Up Arrow 8"/>
        <xdr:cNvSpPr/>
      </xdr:nvSpPr>
      <xdr:spPr>
        <a:xfrm>
          <a:off x="3709988" y="4129087"/>
          <a:ext cx="723900" cy="8858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2390775</xdr:colOff>
      <xdr:row>24</xdr:row>
      <xdr:rowOff>57150</xdr:rowOff>
    </xdr:from>
    <xdr:to>
      <xdr:col>2</xdr:col>
      <xdr:colOff>2152650</xdr:colOff>
      <xdr:row>28</xdr:row>
      <xdr:rowOff>123825</xdr:rowOff>
    </xdr:to>
    <xdr:sp macro="" textlink="">
      <xdr:nvSpPr>
        <xdr:cNvPr id="10" name="TextBox 9"/>
        <xdr:cNvSpPr txBox="1"/>
      </xdr:nvSpPr>
      <xdr:spPr>
        <a:xfrm>
          <a:off x="3000375" y="4829175"/>
          <a:ext cx="249555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"True" or corrected coefficients are entered here. These</a:t>
          </a:r>
          <a:r>
            <a:rPr lang="en-US" sz="1100" b="1" baseline="0"/>
            <a:t> results are based on the application of Landau's formulas to the Table 3 inputs</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485775</xdr:colOff>
      <xdr:row>5</xdr:row>
      <xdr:rowOff>85725</xdr:rowOff>
    </xdr:from>
    <xdr:to>
      <xdr:col>36</xdr:col>
      <xdr:colOff>581025</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19</xdr:row>
      <xdr:rowOff>142875</xdr:rowOff>
    </xdr:from>
    <xdr:to>
      <xdr:col>11</xdr:col>
      <xdr:colOff>228600</xdr:colOff>
      <xdr:row>21</xdr:row>
      <xdr:rowOff>161925</xdr:rowOff>
    </xdr:to>
    <xdr:sp macro="" textlink="">
      <xdr:nvSpPr>
        <xdr:cNvPr id="2" name="Right Arrow 1"/>
        <xdr:cNvSpPr/>
      </xdr:nvSpPr>
      <xdr:spPr>
        <a:xfrm>
          <a:off x="10420350" y="3971925"/>
          <a:ext cx="1428750"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48</xdr:row>
      <xdr:rowOff>23812</xdr:rowOff>
    </xdr:from>
    <xdr:to>
      <xdr:col>3</xdr:col>
      <xdr:colOff>933450</xdr:colOff>
      <xdr:row>61</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504825</xdr:colOff>
      <xdr:row>6</xdr:row>
      <xdr:rowOff>130159</xdr:rowOff>
    </xdr:from>
    <xdr:to>
      <xdr:col>36</xdr:col>
      <xdr:colOff>364231</xdr:colOff>
      <xdr:row>17</xdr:row>
      <xdr:rowOff>95251</xdr:rowOff>
    </xdr:to>
    <xdr:sp macro="" textlink="">
      <xdr:nvSpPr>
        <xdr:cNvPr id="5" name="Freeform 4"/>
        <xdr:cNvSpPr/>
      </xdr:nvSpPr>
      <xdr:spPr>
        <a:xfrm>
          <a:off x="24107775" y="1444609"/>
          <a:ext cx="4955281" cy="2079642"/>
        </a:xfrm>
        <a:custGeom>
          <a:avLst/>
          <a:gdLst>
            <a:gd name="connsiteX0" fmla="*/ 0 w 4954836"/>
            <a:gd name="connsiteY0" fmla="*/ 2080395 h 2080395"/>
            <a:gd name="connsiteX1" fmla="*/ 209550 w 4954836"/>
            <a:gd name="connsiteY1" fmla="*/ 1870845 h 2080395"/>
            <a:gd name="connsiteX2" fmla="*/ 457200 w 4954836"/>
            <a:gd name="connsiteY2" fmla="*/ 1680345 h 2080395"/>
            <a:gd name="connsiteX3" fmla="*/ 723900 w 4954836"/>
            <a:gd name="connsiteY3" fmla="*/ 1527945 h 2080395"/>
            <a:gd name="connsiteX4" fmla="*/ 962025 w 4954836"/>
            <a:gd name="connsiteY4" fmla="*/ 1375545 h 2080395"/>
            <a:gd name="connsiteX5" fmla="*/ 1371600 w 4954836"/>
            <a:gd name="connsiteY5" fmla="*/ 1194570 h 2080395"/>
            <a:gd name="connsiteX6" fmla="*/ 2390775 w 4954836"/>
            <a:gd name="connsiteY6" fmla="*/ 813570 h 2080395"/>
            <a:gd name="connsiteX7" fmla="*/ 4629150 w 4954836"/>
            <a:gd name="connsiteY7" fmla="*/ 108720 h 2080395"/>
            <a:gd name="connsiteX8" fmla="*/ 4895850 w 4954836"/>
            <a:gd name="connsiteY8" fmla="*/ 13470 h 2080395"/>
            <a:gd name="connsiteX0" fmla="*/ 0 w 4955281"/>
            <a:gd name="connsiteY0" fmla="*/ 2079642 h 2079642"/>
            <a:gd name="connsiteX1" fmla="*/ 209550 w 4955281"/>
            <a:gd name="connsiteY1" fmla="*/ 1870092 h 2079642"/>
            <a:gd name="connsiteX2" fmla="*/ 457200 w 4955281"/>
            <a:gd name="connsiteY2" fmla="*/ 1679592 h 2079642"/>
            <a:gd name="connsiteX3" fmla="*/ 723900 w 4955281"/>
            <a:gd name="connsiteY3" fmla="*/ 1527192 h 2079642"/>
            <a:gd name="connsiteX4" fmla="*/ 962025 w 4955281"/>
            <a:gd name="connsiteY4" fmla="*/ 1374792 h 2079642"/>
            <a:gd name="connsiteX5" fmla="*/ 1371600 w 4955281"/>
            <a:gd name="connsiteY5" fmla="*/ 1193817 h 2079642"/>
            <a:gd name="connsiteX6" fmla="*/ 2381250 w 4955281"/>
            <a:gd name="connsiteY6" fmla="*/ 793767 h 2079642"/>
            <a:gd name="connsiteX7" fmla="*/ 4629150 w 4955281"/>
            <a:gd name="connsiteY7" fmla="*/ 107967 h 2079642"/>
            <a:gd name="connsiteX8" fmla="*/ 4895850 w 4955281"/>
            <a:gd name="connsiteY8" fmla="*/ 12717 h 2079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955281" h="2079642">
              <a:moveTo>
                <a:pt x="0" y="2079642"/>
              </a:moveTo>
              <a:cubicBezTo>
                <a:pt x="66675" y="2008204"/>
                <a:pt x="133350" y="1936767"/>
                <a:pt x="209550" y="1870092"/>
              </a:cubicBezTo>
              <a:cubicBezTo>
                <a:pt x="285750" y="1803417"/>
                <a:pt x="371475" y="1736742"/>
                <a:pt x="457200" y="1679592"/>
              </a:cubicBezTo>
              <a:cubicBezTo>
                <a:pt x="542925" y="1622442"/>
                <a:pt x="639763" y="1577992"/>
                <a:pt x="723900" y="1527192"/>
              </a:cubicBezTo>
              <a:cubicBezTo>
                <a:pt x="808037" y="1476392"/>
                <a:pt x="854075" y="1430354"/>
                <a:pt x="962025" y="1374792"/>
              </a:cubicBezTo>
              <a:cubicBezTo>
                <a:pt x="1069975" y="1319229"/>
                <a:pt x="1135063" y="1290655"/>
                <a:pt x="1371600" y="1193817"/>
              </a:cubicBezTo>
              <a:cubicBezTo>
                <a:pt x="1608138" y="1096980"/>
                <a:pt x="1838325" y="974742"/>
                <a:pt x="2381250" y="793767"/>
              </a:cubicBezTo>
              <a:cubicBezTo>
                <a:pt x="2924175" y="612792"/>
                <a:pt x="4210050" y="238142"/>
                <a:pt x="4629150" y="107967"/>
              </a:cubicBezTo>
              <a:cubicBezTo>
                <a:pt x="5048250" y="-22208"/>
                <a:pt x="4971256" y="-6333"/>
                <a:pt x="4895850" y="12717"/>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381000</xdr:colOff>
      <xdr:row>22</xdr:row>
      <xdr:rowOff>104775</xdr:rowOff>
    </xdr:from>
    <xdr:to>
      <xdr:col>16</xdr:col>
      <xdr:colOff>200025</xdr:colOff>
      <xdr:row>27</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39225" y="4352925"/>
          <a:ext cx="4133850"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962025</xdr:colOff>
      <xdr:row>8</xdr:row>
      <xdr:rowOff>104775</xdr:rowOff>
    </xdr:from>
    <xdr:to>
      <xdr:col>1</xdr:col>
      <xdr:colOff>339090</xdr:colOff>
      <xdr:row>26</xdr:row>
      <xdr:rowOff>188595</xdr:rowOff>
    </xdr:to>
    <xdr:pic>
      <xdr:nvPicPr>
        <xdr:cNvPr id="23" name="Picture 22"/>
        <xdr:cNvPicPr>
          <a:picLocks noChangeAspect="1"/>
        </xdr:cNvPicPr>
      </xdr:nvPicPr>
      <xdr:blipFill>
        <a:blip xmlns:r="http://schemas.openxmlformats.org/officeDocument/2006/relationships" r:embed="rId1"/>
        <a:stretch>
          <a:fillRect/>
        </a:stretch>
      </xdr:blipFill>
      <xdr:spPr>
        <a:xfrm>
          <a:off x="962025" y="1685925"/>
          <a:ext cx="1729740" cy="3512820"/>
        </a:xfrm>
        <a:prstGeom prst="rect">
          <a:avLst/>
        </a:prstGeom>
      </xdr:spPr>
    </xdr:pic>
    <xdr:clientData/>
  </xdr:twoCellAnchor>
  <xdr:twoCellAnchor>
    <xdr:from>
      <xdr:col>0</xdr:col>
      <xdr:colOff>190500</xdr:colOff>
      <xdr:row>17</xdr:row>
      <xdr:rowOff>133350</xdr:rowOff>
    </xdr:from>
    <xdr:to>
      <xdr:col>0</xdr:col>
      <xdr:colOff>1047751</xdr:colOff>
      <xdr:row>19</xdr:row>
      <xdr:rowOff>142875</xdr:rowOff>
    </xdr:to>
    <xdr:sp macro="" textlink="">
      <xdr:nvSpPr>
        <xdr:cNvPr id="6" name="TextBox 5"/>
        <xdr:cNvSpPr txBox="1"/>
      </xdr:nvSpPr>
      <xdr:spPr>
        <a:xfrm>
          <a:off x="190500" y="3429000"/>
          <a:ext cx="85725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8.5 </a:t>
          </a:r>
          <a:r>
            <a:rPr lang="el-GR" sz="1800">
              <a:latin typeface="Calibri"/>
            </a:rPr>
            <a:t>Ω</a:t>
          </a:r>
          <a:endParaRPr lang="en-US" sz="1800"/>
        </a:p>
      </xdr:txBody>
    </xdr:sp>
    <xdr:clientData/>
  </xdr:twoCellAnchor>
  <xdr:twoCellAnchor editAs="oneCell">
    <xdr:from>
      <xdr:col>1</xdr:col>
      <xdr:colOff>2219325</xdr:colOff>
      <xdr:row>9</xdr:row>
      <xdr:rowOff>123825</xdr:rowOff>
    </xdr:from>
    <xdr:to>
      <xdr:col>4</xdr:col>
      <xdr:colOff>1723400</xdr:colOff>
      <xdr:row>14</xdr:row>
      <xdr:rowOff>9525</xdr:rowOff>
    </xdr:to>
    <xdr:pic>
      <xdr:nvPicPr>
        <xdr:cNvPr id="7" name="Picture 6" descr="capacitive reactance equati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0" y="1838325"/>
          <a:ext cx="636207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28573</xdr:colOff>
      <xdr:row>23</xdr:row>
      <xdr:rowOff>123825</xdr:rowOff>
    </xdr:from>
    <xdr:to>
      <xdr:col>1</xdr:col>
      <xdr:colOff>1076324</xdr:colOff>
      <xdr:row>26</xdr:row>
      <xdr:rowOff>47625</xdr:rowOff>
    </xdr:to>
    <xdr:sp macro="" textlink="">
      <xdr:nvSpPr>
        <xdr:cNvPr id="11" name="TextBox 10"/>
        <xdr:cNvSpPr txBox="1"/>
      </xdr:nvSpPr>
      <xdr:spPr>
        <a:xfrm>
          <a:off x="2381248" y="4562475"/>
          <a:ext cx="104775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 </a:t>
          </a:r>
          <a:r>
            <a:rPr lang="el-GR" sz="1800">
              <a:latin typeface="Calibri"/>
            </a:rPr>
            <a:t>Ω</a:t>
          </a:r>
          <a:endParaRPr lang="en-US" sz="1800"/>
        </a:p>
      </xdr:txBody>
    </xdr:sp>
    <xdr:clientData/>
  </xdr:twoCellAnchor>
  <xdr:twoCellAnchor>
    <xdr:from>
      <xdr:col>1</xdr:col>
      <xdr:colOff>28575</xdr:colOff>
      <xdr:row>17</xdr:row>
      <xdr:rowOff>133350</xdr:rowOff>
    </xdr:from>
    <xdr:to>
      <xdr:col>1</xdr:col>
      <xdr:colOff>895350</xdr:colOff>
      <xdr:row>19</xdr:row>
      <xdr:rowOff>180975</xdr:rowOff>
    </xdr:to>
    <xdr:sp macro="" textlink="">
      <xdr:nvSpPr>
        <xdr:cNvPr id="12" name="TextBox 11"/>
        <xdr:cNvSpPr txBox="1"/>
      </xdr:nvSpPr>
      <xdr:spPr>
        <a:xfrm>
          <a:off x="2381250" y="3429000"/>
          <a:ext cx="8667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78 µF</a:t>
          </a:r>
        </a:p>
      </xdr:txBody>
    </xdr:sp>
    <xdr:clientData/>
  </xdr:twoCellAnchor>
  <xdr:twoCellAnchor editAs="oneCell">
    <xdr:from>
      <xdr:col>1</xdr:col>
      <xdr:colOff>2247900</xdr:colOff>
      <xdr:row>15</xdr:row>
      <xdr:rowOff>9525</xdr:rowOff>
    </xdr:from>
    <xdr:to>
      <xdr:col>3</xdr:col>
      <xdr:colOff>1781175</xdr:colOff>
      <xdr:row>19</xdr:row>
      <xdr:rowOff>180975</xdr:rowOff>
    </xdr:to>
    <xdr:pic>
      <xdr:nvPicPr>
        <xdr:cNvPr id="15" name="Picture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00575" y="2943225"/>
          <a:ext cx="4105275"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1657350</xdr:colOff>
      <xdr:row>25</xdr:row>
      <xdr:rowOff>0</xdr:rowOff>
    </xdr:from>
    <xdr:to>
      <xdr:col>3</xdr:col>
      <xdr:colOff>428625</xdr:colOff>
      <xdr:row>27</xdr:row>
      <xdr:rowOff>123825</xdr:rowOff>
    </xdr:to>
    <xdr:cxnSp macro="">
      <xdr:nvCxnSpPr>
        <xdr:cNvPr id="18" name="Straight Arrow Connector 17"/>
        <xdr:cNvCxnSpPr/>
      </xdr:nvCxnSpPr>
      <xdr:spPr>
        <a:xfrm flipH="1">
          <a:off x="6296025" y="4781550"/>
          <a:ext cx="1057275"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457200</xdr:colOff>
      <xdr:row>24</xdr:row>
      <xdr:rowOff>95249</xdr:rowOff>
    </xdr:from>
    <xdr:to>
      <xdr:col>4</xdr:col>
      <xdr:colOff>28575</xdr:colOff>
      <xdr:row>27</xdr:row>
      <xdr:rowOff>9524</xdr:rowOff>
    </xdr:to>
    <xdr:sp macro="" textlink="">
      <xdr:nvSpPr>
        <xdr:cNvPr id="19" name="TextBox 18"/>
        <xdr:cNvSpPr txBox="1"/>
      </xdr:nvSpPr>
      <xdr:spPr>
        <a:xfrm>
          <a:off x="7381875" y="4686299"/>
          <a:ext cx="185737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Very high capacitance,</a:t>
          </a:r>
          <a:r>
            <a:rPr lang="en-US" sz="1100" baseline="0"/>
            <a:t> possibly anomalous  20 HZ</a:t>
          </a:r>
          <a:endParaRPr lang="en-US" sz="1100"/>
        </a:p>
      </xdr:txBody>
    </xdr:sp>
    <xdr:clientData/>
  </xdr:twoCellAnchor>
  <xdr:twoCellAnchor>
    <xdr:from>
      <xdr:col>9</xdr:col>
      <xdr:colOff>636443</xdr:colOff>
      <xdr:row>44</xdr:row>
      <xdr:rowOff>164089</xdr:rowOff>
    </xdr:from>
    <xdr:to>
      <xdr:col>16</xdr:col>
      <xdr:colOff>93518</xdr:colOff>
      <xdr:row>58</xdr:row>
      <xdr:rowOff>183139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352425</xdr:colOff>
      <xdr:row>44</xdr:row>
      <xdr:rowOff>166687</xdr:rowOff>
    </xdr:from>
    <xdr:to>
      <xdr:col>24</xdr:col>
      <xdr:colOff>47625</xdr:colOff>
      <xdr:row>59</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400050</xdr:colOff>
      <xdr:row>14</xdr:row>
      <xdr:rowOff>171450</xdr:rowOff>
    </xdr:from>
    <xdr:to>
      <xdr:col>5</xdr:col>
      <xdr:colOff>866775</xdr:colOff>
      <xdr:row>21</xdr:row>
      <xdr:rowOff>47625</xdr:rowOff>
    </xdr:to>
    <xdr:pic>
      <xdr:nvPicPr>
        <xdr:cNvPr id="13" name="Picture 12" descr="simplified model of capacitor with parasitic effect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610725" y="2895600"/>
          <a:ext cx="297180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xdr:colOff>
      <xdr:row>12</xdr:row>
      <xdr:rowOff>100012</xdr:rowOff>
    </xdr:from>
    <xdr:to>
      <xdr:col>1</xdr:col>
      <xdr:colOff>871537</xdr:colOff>
      <xdr:row>14</xdr:row>
      <xdr:rowOff>147637</xdr:rowOff>
    </xdr:to>
    <xdr:sp macro="" textlink="">
      <xdr:nvSpPr>
        <xdr:cNvPr id="21" name="TextBox 20"/>
        <xdr:cNvSpPr txBox="1"/>
      </xdr:nvSpPr>
      <xdr:spPr>
        <a:xfrm>
          <a:off x="2357437" y="2443162"/>
          <a:ext cx="8667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1.5 </a:t>
          </a:r>
          <a:r>
            <a:rPr lang="en-US" sz="1800">
              <a:latin typeface="+mn-lt"/>
            </a:rPr>
            <a:t>m</a:t>
          </a:r>
          <a:r>
            <a:rPr lang="en-US" sz="1800"/>
            <a:t>H</a:t>
          </a:r>
        </a:p>
      </xdr:txBody>
    </xdr:sp>
    <xdr:clientData/>
  </xdr:twoCellAnchor>
  <xdr:twoCellAnchor editAs="oneCell">
    <xdr:from>
      <xdr:col>20</xdr:col>
      <xdr:colOff>47625</xdr:colOff>
      <xdr:row>63</xdr:row>
      <xdr:rowOff>152400</xdr:rowOff>
    </xdr:from>
    <xdr:to>
      <xdr:col>25</xdr:col>
      <xdr:colOff>161925</xdr:colOff>
      <xdr:row>73</xdr:row>
      <xdr:rowOff>19050</xdr:rowOff>
    </xdr:to>
    <xdr:pic>
      <xdr:nvPicPr>
        <xdr:cNvPr id="16" name="Picture 15" descr="https://techweb.rohm.com/upload/2018/03/EMC-9_graf_01.gif"/>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384250" y="12315825"/>
          <a:ext cx="316230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581025</xdr:colOff>
      <xdr:row>78</xdr:row>
      <xdr:rowOff>28575</xdr:rowOff>
    </xdr:from>
    <xdr:to>
      <xdr:col>18</xdr:col>
      <xdr:colOff>133350</xdr:colOff>
      <xdr:row>93</xdr:row>
      <xdr:rowOff>180975</xdr:rowOff>
    </xdr:to>
    <xdr:sp macro="" textlink="">
      <xdr:nvSpPr>
        <xdr:cNvPr id="5" name="TextBox 4"/>
        <xdr:cNvSpPr txBox="1"/>
      </xdr:nvSpPr>
      <xdr:spPr>
        <a:xfrm>
          <a:off x="17583150" y="15097125"/>
          <a:ext cx="7667625"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i="0">
              <a:solidFill>
                <a:schemeClr val="dk1"/>
              </a:solidFill>
              <a:effectLst/>
              <a:latin typeface="+mn-lt"/>
              <a:ea typeface="+mn-ea"/>
              <a:cs typeface="+mn-cs"/>
            </a:rPr>
            <a:t>Parasitic Capacitance</a:t>
          </a:r>
        </a:p>
        <a:p>
          <a:pPr fontAlgn="base"/>
          <a:r>
            <a:rPr lang="en-US" sz="1100" b="0" i="0">
              <a:solidFill>
                <a:schemeClr val="dk1"/>
              </a:solidFill>
              <a:effectLst/>
              <a:latin typeface="+mn-lt"/>
              <a:ea typeface="+mn-ea"/>
              <a:cs typeface="+mn-cs"/>
            </a:rPr>
            <a:t>If two parts of an electronic circuit are in close proximity to one another, there is a likelihood of a capacitance effect – known as parasitic or stray capacitance – between them. This is unavoidable and usually unwanted. It arises because the electric field between parts at different potential causes them to store an electric charge. Stray capacitance is associated with conductors such as wires and PCB tracks as well as components. It becomes more of an issue as signal frequency increases.</a:t>
          </a:r>
        </a:p>
        <a:p>
          <a:pPr fontAlgn="base"/>
          <a:r>
            <a:rPr lang="en-US" sz="1100" b="0" i="0">
              <a:solidFill>
                <a:schemeClr val="dk1"/>
              </a:solidFill>
              <a:effectLst/>
              <a:latin typeface="+mn-lt"/>
              <a:ea typeface="+mn-ea"/>
              <a:cs typeface="+mn-cs"/>
            </a:rPr>
            <a:t>Self-capacitance is parasitic capacitance found within a component – for example across the windings of an inductor - without linkage to an external component or conductor.</a:t>
          </a:r>
        </a:p>
        <a:p>
          <a:pPr fontAlgn="base"/>
          <a:r>
            <a:rPr lang="en-US" sz="1100" b="0" i="0">
              <a:solidFill>
                <a:schemeClr val="dk1"/>
              </a:solidFill>
              <a:effectLst/>
              <a:latin typeface="+mn-lt"/>
              <a:ea typeface="+mn-ea"/>
              <a:cs typeface="+mn-cs"/>
            </a:rPr>
            <a:t>Parasitic capacitance changes the intended output from the circuit or device. In amplifier circuits with extended frequency response, parasitic capacitance between the output and the input can act as a feedback path, causing the circuit to oscillate at high frequency. These unwanted oscillations are called parasitic oscillations.</a:t>
          </a:r>
        </a:p>
        <a:p>
          <a:pPr fontAlgn="base"/>
          <a:r>
            <a:rPr lang="en-US" sz="1100" b="0" i="0">
              <a:solidFill>
                <a:schemeClr val="dk1"/>
              </a:solidFill>
              <a:effectLst/>
              <a:latin typeface="+mn-lt"/>
              <a:ea typeface="+mn-ea"/>
              <a:cs typeface="+mn-cs"/>
            </a:rPr>
            <a:t>In high frequency amplifiers, parasitic capacitance can combine with stray inductance such as component leads to form resonant circuits, also leading to parasitic oscillations. In all inductors, the parasitic capacitance will resonate with the inductance at some high frequency to make the inductor self-resonant; this is called the self-resonant frequency.</a:t>
          </a:r>
        </a:p>
        <a:p>
          <a:pPr fontAlgn="base"/>
          <a:r>
            <a:rPr lang="en-US" sz="1100" b="0" i="0">
              <a:solidFill>
                <a:schemeClr val="dk1"/>
              </a:solidFill>
              <a:effectLst/>
              <a:latin typeface="+mn-lt"/>
              <a:ea typeface="+mn-ea"/>
              <a:cs typeface="+mn-cs"/>
            </a:rPr>
            <a:t>Electronic design automation computer programs, which are used to design commercial printed circuit boards, can calculate the parasitic capacitance and other parasitic effects of both components and circuit board traces, and include them in simulations of circuit operation. This is called parasitic extraction.</a:t>
          </a:r>
        </a:p>
        <a:p>
          <a:endParaRPr lang="en-US" sz="1100"/>
        </a:p>
      </xdr:txBody>
    </xdr:sp>
    <xdr:clientData/>
  </xdr:twoCellAnchor>
  <xdr:twoCellAnchor editAs="oneCell">
    <xdr:from>
      <xdr:col>19</xdr:col>
      <xdr:colOff>342900</xdr:colOff>
      <xdr:row>74</xdr:row>
      <xdr:rowOff>158115</xdr:rowOff>
    </xdr:from>
    <xdr:to>
      <xdr:col>27</xdr:col>
      <xdr:colOff>190500</xdr:colOff>
      <xdr:row>84</xdr:row>
      <xdr:rowOff>142875</xdr:rowOff>
    </xdr:to>
    <xdr:pic>
      <xdr:nvPicPr>
        <xdr:cNvPr id="17" name="Picture 16" descr="https://techweb.rohm.com/upload/2018/10/EMC-15_fig1.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069925" y="14464665"/>
          <a:ext cx="4724400"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2219325</xdr:colOff>
      <xdr:row>14</xdr:row>
      <xdr:rowOff>142875</xdr:rowOff>
    </xdr:from>
    <xdr:to>
      <xdr:col>1</xdr:col>
      <xdr:colOff>1190625</xdr:colOff>
      <xdr:row>17</xdr:row>
      <xdr:rowOff>0</xdr:rowOff>
    </xdr:to>
    <xdr:sp macro="" textlink="">
      <xdr:nvSpPr>
        <xdr:cNvPr id="20" name="TextBox 19"/>
        <xdr:cNvSpPr txBox="1"/>
      </xdr:nvSpPr>
      <xdr:spPr>
        <a:xfrm>
          <a:off x="2219325" y="2867025"/>
          <a:ext cx="13239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100 Hz)</a:t>
          </a:r>
        </a:p>
      </xdr:txBody>
    </xdr:sp>
    <xdr:clientData/>
  </xdr:twoCellAnchor>
  <xdr:twoCellAnchor>
    <xdr:from>
      <xdr:col>0</xdr:col>
      <xdr:colOff>923926</xdr:colOff>
      <xdr:row>7</xdr:row>
      <xdr:rowOff>38099</xdr:rowOff>
    </xdr:from>
    <xdr:to>
      <xdr:col>1</xdr:col>
      <xdr:colOff>352425</xdr:colOff>
      <xdr:row>8</xdr:row>
      <xdr:rowOff>190499</xdr:rowOff>
    </xdr:to>
    <xdr:sp macro="" textlink="">
      <xdr:nvSpPr>
        <xdr:cNvPr id="8" name="Right Brace 7"/>
        <xdr:cNvSpPr/>
      </xdr:nvSpPr>
      <xdr:spPr>
        <a:xfrm rot="16200000">
          <a:off x="1643063" y="709612"/>
          <a:ext cx="342900" cy="1781174"/>
        </a:xfrm>
        <a:prstGeom prst="rightBrace">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1638300</xdr:colOff>
      <xdr:row>5</xdr:row>
      <xdr:rowOff>19050</xdr:rowOff>
    </xdr:from>
    <xdr:to>
      <xdr:col>0</xdr:col>
      <xdr:colOff>1990725</xdr:colOff>
      <xdr:row>7</xdr:row>
      <xdr:rowOff>47625</xdr:rowOff>
    </xdr:to>
    <xdr:sp macro="" textlink="">
      <xdr:nvSpPr>
        <xdr:cNvPr id="22" name="TextBox 21"/>
        <xdr:cNvSpPr txBox="1"/>
      </xdr:nvSpPr>
      <xdr:spPr>
        <a:xfrm>
          <a:off x="1638300" y="1009650"/>
          <a:ext cx="3524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Y</a:t>
          </a:r>
        </a:p>
      </xdr:txBody>
    </xdr:sp>
    <xdr:clientData/>
  </xdr:twoCellAnchor>
  <xdr:twoCellAnchor>
    <xdr:from>
      <xdr:col>14</xdr:col>
      <xdr:colOff>9525</xdr:colOff>
      <xdr:row>26</xdr:row>
      <xdr:rowOff>80962</xdr:rowOff>
    </xdr:from>
    <xdr:to>
      <xdr:col>21</xdr:col>
      <xdr:colOff>314325</xdr:colOff>
      <xdr:row>40</xdr:row>
      <xdr:rowOff>138112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295275</xdr:colOff>
      <xdr:row>27</xdr:row>
      <xdr:rowOff>104775</xdr:rowOff>
    </xdr:from>
    <xdr:to>
      <xdr:col>1</xdr:col>
      <xdr:colOff>1295400</xdr:colOff>
      <xdr:row>49</xdr:row>
      <xdr:rowOff>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295275" y="5305425"/>
          <a:ext cx="3352800" cy="4191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504825</xdr:colOff>
      <xdr:row>6</xdr:row>
      <xdr:rowOff>47625</xdr:rowOff>
    </xdr:from>
    <xdr:to>
      <xdr:col>18</xdr:col>
      <xdr:colOff>299085</xdr:colOff>
      <xdr:row>21</xdr:row>
      <xdr:rowOff>47625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04825" y="1343025"/>
          <a:ext cx="10957560" cy="2857500"/>
        </a:xfrm>
        <a:prstGeom prst="rect">
          <a:avLst/>
        </a:prstGeom>
      </xdr:spPr>
    </xdr:pic>
    <xdr:clientData/>
  </xdr:twoCellAnchor>
  <xdr:twoCellAnchor editAs="oneCell">
    <xdr:from>
      <xdr:col>1</xdr:col>
      <xdr:colOff>76200</xdr:colOff>
      <xdr:row>34</xdr:row>
      <xdr:rowOff>180975</xdr:rowOff>
    </xdr:from>
    <xdr:to>
      <xdr:col>14</xdr:col>
      <xdr:colOff>514350</xdr:colOff>
      <xdr:row>43</xdr:row>
      <xdr:rowOff>0</xdr:rowOff>
    </xdr:to>
    <xdr:pic>
      <xdr:nvPicPr>
        <xdr:cNvPr id="3" name="Picture 2"/>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294"/>
        <a:stretch/>
      </xdr:blipFill>
      <xdr:spPr bwMode="auto">
        <a:xfrm>
          <a:off x="685800" y="6867525"/>
          <a:ext cx="8553450" cy="1533525"/>
        </a:xfrm>
        <a:prstGeom prst="rect">
          <a:avLst/>
        </a:prstGeom>
        <a:noFill/>
      </xdr:spPr>
    </xdr:pic>
    <xdr:clientData/>
  </xdr:twoCellAnchor>
  <xdr:twoCellAnchor>
    <xdr:from>
      <xdr:col>6</xdr:col>
      <xdr:colOff>466725</xdr:colOff>
      <xdr:row>29</xdr:row>
      <xdr:rowOff>133350</xdr:rowOff>
    </xdr:from>
    <xdr:to>
      <xdr:col>7</xdr:col>
      <xdr:colOff>428625</xdr:colOff>
      <xdr:row>33</xdr:row>
      <xdr:rowOff>38100</xdr:rowOff>
    </xdr:to>
    <xdr:sp macro="" textlink="">
      <xdr:nvSpPr>
        <xdr:cNvPr id="4" name="Left Arrow 3"/>
        <xdr:cNvSpPr/>
      </xdr:nvSpPr>
      <xdr:spPr>
        <a:xfrm>
          <a:off x="4314825" y="5857875"/>
          <a:ext cx="571500" cy="6667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533400</xdr:colOff>
      <xdr:row>28</xdr:row>
      <xdr:rowOff>66675</xdr:rowOff>
    </xdr:from>
    <xdr:to>
      <xdr:col>18</xdr:col>
      <xdr:colOff>525780</xdr:colOff>
      <xdr:row>43</xdr:row>
      <xdr:rowOff>3175</xdr:rowOff>
    </xdr:to>
    <xdr:pic>
      <xdr:nvPicPr>
        <xdr:cNvPr id="5" name="Picture 4"/>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67900" y="5591175"/>
          <a:ext cx="1821180" cy="2813050"/>
        </a:xfrm>
        <a:prstGeom prst="rect">
          <a:avLst/>
        </a:prstGeom>
        <a:noFill/>
        <a:ln>
          <a:noFill/>
        </a:ln>
      </xdr:spPr>
    </xdr:pic>
    <xdr:clientData/>
  </xdr:twoCellAnchor>
  <xdr:twoCellAnchor>
    <xdr:from>
      <xdr:col>4</xdr:col>
      <xdr:colOff>28575</xdr:colOff>
      <xdr:row>45</xdr:row>
      <xdr:rowOff>9525</xdr:rowOff>
    </xdr:from>
    <xdr:to>
      <xdr:col>14</xdr:col>
      <xdr:colOff>590550</xdr:colOff>
      <xdr:row>49</xdr:row>
      <xdr:rowOff>19050</xdr:rowOff>
    </xdr:to>
    <xdr:sp macro="" textlink="">
      <xdr:nvSpPr>
        <xdr:cNvPr id="6" name="TextBox 5"/>
        <xdr:cNvSpPr txBox="1"/>
      </xdr:nvSpPr>
      <xdr:spPr>
        <a:xfrm>
          <a:off x="2466975" y="8791575"/>
          <a:ext cx="6848475"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For instance for the R65 rail w= 314 mm and t= 26.4 mm, and for the UIC 60 rail w=317 mm and t =24 mm. This rectangular model is illustrated below along with the circular model.  . . . (w+t) = 0.341 m and D= track gauge outside to outside = 1.595 m. Cross Sectional Area = 0.317 * 0.24 = 0.007608 m</a:t>
          </a:r>
          <a:r>
            <a:rPr lang="en-GB" sz="1100" baseline="30000">
              <a:solidFill>
                <a:schemeClr val="dk1"/>
              </a:solidFill>
              <a:effectLst/>
              <a:latin typeface="+mn-lt"/>
              <a:ea typeface="+mn-ea"/>
              <a:cs typeface="+mn-cs"/>
            </a:rPr>
            <a:t>2</a:t>
          </a:r>
          <a:endParaRPr lang="en-US" sz="1100">
            <a:solidFill>
              <a:schemeClr val="dk1"/>
            </a:solidFill>
            <a:effectLst/>
            <a:latin typeface="+mn-lt"/>
            <a:ea typeface="+mn-ea"/>
            <a:cs typeface="+mn-cs"/>
          </a:endParaRP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666750</xdr:colOff>
      <xdr:row>9</xdr:row>
      <xdr:rowOff>19049</xdr:rowOff>
    </xdr:from>
    <xdr:to>
      <xdr:col>4</xdr:col>
      <xdr:colOff>762000</xdr:colOff>
      <xdr:row>11</xdr:row>
      <xdr:rowOff>57150</xdr:rowOff>
    </xdr:to>
    <xdr:sp macro="" textlink="">
      <xdr:nvSpPr>
        <xdr:cNvPr id="2" name="TextBox 1"/>
        <xdr:cNvSpPr txBox="1"/>
      </xdr:nvSpPr>
      <xdr:spPr>
        <a:xfrm>
          <a:off x="1276350" y="1752599"/>
          <a:ext cx="2752725" cy="457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a:t>
          </a:r>
          <a:r>
            <a:rPr lang="en-US" sz="1100" baseline="0"/>
            <a:t> 250, Low 80  if you put anything else in here then </a:t>
          </a:r>
          <a:r>
            <a:rPr lang="en-US" sz="1100" b="1" i="0">
              <a:solidFill>
                <a:schemeClr val="dk1"/>
              </a:solidFill>
              <a:effectLst/>
              <a:latin typeface="+mn-lt"/>
              <a:ea typeface="+mn-ea"/>
              <a:cs typeface="+mn-cs"/>
            </a:rPr>
            <a:t>µ</a:t>
          </a:r>
          <a:r>
            <a:rPr lang="en-US" sz="1100" b="1" i="0" baseline="-25000">
              <a:solidFill>
                <a:schemeClr val="dk1"/>
              </a:solidFill>
              <a:effectLst/>
              <a:latin typeface="+mn-lt"/>
              <a:ea typeface="+mn-ea"/>
              <a:cs typeface="+mn-cs"/>
            </a:rPr>
            <a:t>RT  </a:t>
          </a:r>
          <a:r>
            <a:rPr lang="en-US" sz="1100" baseline="0">
              <a:solidFill>
                <a:schemeClr val="dk1"/>
              </a:solidFill>
              <a:effectLst/>
              <a:latin typeface="+mn-lt"/>
              <a:ea typeface="+mn-ea"/>
              <a:cs typeface="+mn-cs"/>
            </a:rPr>
            <a:t>is no longer constant</a:t>
          </a:r>
          <a:endParaRPr lang="en-US" sz="1100"/>
        </a:p>
      </xdr:txBody>
    </xdr:sp>
    <xdr:clientData/>
  </xdr:twoCellAnchor>
  <xdr:twoCellAnchor>
    <xdr:from>
      <xdr:col>22</xdr:col>
      <xdr:colOff>85725</xdr:colOff>
      <xdr:row>55</xdr:row>
      <xdr:rowOff>161925</xdr:rowOff>
    </xdr:from>
    <xdr:to>
      <xdr:col>23</xdr:col>
      <xdr:colOff>190500</xdr:colOff>
      <xdr:row>57</xdr:row>
      <xdr:rowOff>47625</xdr:rowOff>
    </xdr:to>
    <xdr:sp macro="" textlink="">
      <xdr:nvSpPr>
        <xdr:cNvPr id="3" name="Rounded Rectangle 2"/>
        <xdr:cNvSpPr/>
      </xdr:nvSpPr>
      <xdr:spPr>
        <a:xfrm>
          <a:off x="20278725" y="11363325"/>
          <a:ext cx="1085850" cy="304800"/>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285750</xdr:colOff>
      <xdr:row>1</xdr:row>
      <xdr:rowOff>133350</xdr:rowOff>
    </xdr:from>
    <xdr:to>
      <xdr:col>23</xdr:col>
      <xdr:colOff>190500</xdr:colOff>
      <xdr:row>3</xdr:row>
      <xdr:rowOff>38100</xdr:rowOff>
    </xdr:to>
    <xdr:sp macro="" textlink="">
      <xdr:nvSpPr>
        <xdr:cNvPr id="4" name="Rounded Rectangle 3"/>
        <xdr:cNvSpPr/>
      </xdr:nvSpPr>
      <xdr:spPr>
        <a:xfrm>
          <a:off x="20478750" y="323850"/>
          <a:ext cx="885825" cy="285750"/>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238124</xdr:colOff>
      <xdr:row>0</xdr:row>
      <xdr:rowOff>171449</xdr:rowOff>
    </xdr:from>
    <xdr:to>
      <xdr:col>25</xdr:col>
      <xdr:colOff>66674</xdr:colOff>
      <xdr:row>49</xdr:row>
      <xdr:rowOff>66674</xdr:rowOff>
    </xdr:to>
    <xdr:sp macro="" textlink="">
      <xdr:nvSpPr>
        <xdr:cNvPr id="5" name="Curved Right Arrow 4"/>
        <xdr:cNvSpPr/>
      </xdr:nvSpPr>
      <xdr:spPr>
        <a:xfrm rot="10800000">
          <a:off x="21412199" y="171449"/>
          <a:ext cx="1171575" cy="986790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428625</xdr:colOff>
      <xdr:row>2</xdr:row>
      <xdr:rowOff>47625</xdr:rowOff>
    </xdr:from>
    <xdr:to>
      <xdr:col>29</xdr:col>
      <xdr:colOff>57150</xdr:colOff>
      <xdr:row>7</xdr:row>
      <xdr:rowOff>171450</xdr:rowOff>
    </xdr:to>
    <xdr:sp macro="" textlink="">
      <xdr:nvSpPr>
        <xdr:cNvPr id="6" name="TextBox 5"/>
        <xdr:cNvSpPr txBox="1"/>
      </xdr:nvSpPr>
      <xdr:spPr>
        <a:xfrm>
          <a:off x="22212300" y="428625"/>
          <a:ext cx="28003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 Resistance due</a:t>
          </a:r>
          <a:r>
            <a:rPr lang="en-US" sz="1100" baseline="0"/>
            <a:t> to Skin Effect, is exceeding the Real Coefficient that was calibrated from Ivanek's data.  Perhaps there is a problem with Ivanek's data (or our processing of it) for the 5,000 Hz Point?</a:t>
          </a:r>
          <a:endParaRPr lang="en-US" sz="1100"/>
        </a:p>
      </xdr:txBody>
    </xdr:sp>
    <xdr:clientData/>
  </xdr:twoCellAnchor>
  <xdr:twoCellAnchor>
    <xdr:from>
      <xdr:col>22</xdr:col>
      <xdr:colOff>419100</xdr:colOff>
      <xdr:row>8</xdr:row>
      <xdr:rowOff>9524</xdr:rowOff>
    </xdr:from>
    <xdr:to>
      <xdr:col>23</xdr:col>
      <xdr:colOff>323850</xdr:colOff>
      <xdr:row>9</xdr:row>
      <xdr:rowOff>57149</xdr:rowOff>
    </xdr:to>
    <xdr:sp macro="" textlink="">
      <xdr:nvSpPr>
        <xdr:cNvPr id="7" name="Rounded Rectangle 6"/>
        <xdr:cNvSpPr/>
      </xdr:nvSpPr>
      <xdr:spPr>
        <a:xfrm>
          <a:off x="20612100" y="1552574"/>
          <a:ext cx="885825" cy="238125"/>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133350</xdr:colOff>
      <xdr:row>28</xdr:row>
      <xdr:rowOff>57150</xdr:rowOff>
    </xdr:from>
    <xdr:to>
      <xdr:col>7</xdr:col>
      <xdr:colOff>419100</xdr:colOff>
      <xdr:row>43</xdr:row>
      <xdr:rowOff>195262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12</xdr:row>
      <xdr:rowOff>171450</xdr:rowOff>
    </xdr:from>
    <xdr:to>
      <xdr:col>7</xdr:col>
      <xdr:colOff>400050</xdr:colOff>
      <xdr:row>26</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724428</xdr:colOff>
      <xdr:row>11</xdr:row>
      <xdr:rowOff>5608</xdr:rowOff>
    </xdr:from>
    <xdr:to>
      <xdr:col>2</xdr:col>
      <xdr:colOff>48153</xdr:colOff>
      <xdr:row>16</xdr:row>
      <xdr:rowOff>214701</xdr:rowOff>
    </xdr:to>
    <xdr:sp macro="" textlink="">
      <xdr:nvSpPr>
        <xdr:cNvPr id="10" name="Down Arrow 9"/>
        <xdr:cNvSpPr/>
      </xdr:nvSpPr>
      <xdr:spPr>
        <a:xfrm rot="911472">
          <a:off x="1334028" y="2158258"/>
          <a:ext cx="266700" cy="12377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138111</xdr:colOff>
      <xdr:row>56</xdr:row>
      <xdr:rowOff>23813</xdr:rowOff>
    </xdr:from>
    <xdr:to>
      <xdr:col>29</xdr:col>
      <xdr:colOff>109536</xdr:colOff>
      <xdr:row>57</xdr:row>
      <xdr:rowOff>195263</xdr:rowOff>
    </xdr:to>
    <xdr:sp macro="" textlink="">
      <xdr:nvSpPr>
        <xdr:cNvPr id="11" name="Up Arrow 10"/>
        <xdr:cNvSpPr/>
      </xdr:nvSpPr>
      <xdr:spPr>
        <a:xfrm rot="16534451">
          <a:off x="24274461" y="11015663"/>
          <a:ext cx="390525" cy="11906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514350</xdr:colOff>
      <xdr:row>56</xdr:row>
      <xdr:rowOff>76200</xdr:rowOff>
    </xdr:from>
    <xdr:to>
      <xdr:col>31</xdr:col>
      <xdr:colOff>485775</xdr:colOff>
      <xdr:row>58</xdr:row>
      <xdr:rowOff>190499</xdr:rowOff>
    </xdr:to>
    <xdr:sp macro="" textlink="">
      <xdr:nvSpPr>
        <xdr:cNvPr id="12" name="TextBox 11"/>
        <xdr:cNvSpPr txBox="1"/>
      </xdr:nvSpPr>
      <xdr:spPr>
        <a:xfrm>
          <a:off x="24860250" y="11468100"/>
          <a:ext cx="180022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k</a:t>
          </a:r>
          <a:r>
            <a:rPr lang="en-US" sz="1100" baseline="0"/>
            <a:t> Multiplier (Row 22) added into this equation</a:t>
          </a:r>
          <a:endParaRPr lang="en-US" sz="1100"/>
        </a:p>
      </xdr:txBody>
    </xdr:sp>
    <xdr:clientData/>
  </xdr:twoCellAnchor>
  <xdr:twoCellAnchor>
    <xdr:from>
      <xdr:col>7</xdr:col>
      <xdr:colOff>438150</xdr:colOff>
      <xdr:row>4</xdr:row>
      <xdr:rowOff>161925</xdr:rowOff>
    </xdr:from>
    <xdr:to>
      <xdr:col>10</xdr:col>
      <xdr:colOff>476250</xdr:colOff>
      <xdr:row>7</xdr:row>
      <xdr:rowOff>114299</xdr:rowOff>
    </xdr:to>
    <xdr:sp macro="" textlink="">
      <xdr:nvSpPr>
        <xdr:cNvPr id="13" name="TextBox 12"/>
        <xdr:cNvSpPr txBox="1"/>
      </xdr:nvSpPr>
      <xdr:spPr>
        <a:xfrm>
          <a:off x="6276975" y="923925"/>
          <a:ext cx="261937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µ</a:t>
          </a:r>
          <a:r>
            <a:rPr lang="en-US" sz="1100" b="1" i="0" u="none" strike="noStrike" baseline="-25000">
              <a:solidFill>
                <a:schemeClr val="dk1"/>
              </a:solidFill>
              <a:effectLst/>
              <a:latin typeface="+mn-lt"/>
              <a:ea typeface="+mn-ea"/>
              <a:cs typeface="+mn-cs"/>
            </a:rPr>
            <a:t>RT</a:t>
          </a:r>
          <a:r>
            <a:rPr lang="en-US"/>
            <a:t> </a:t>
          </a:r>
          <a:r>
            <a:rPr lang="en-US" sz="1100"/>
            <a:t>coefficients  all in the 1.1-1.2 range</a:t>
          </a:r>
        </a:p>
        <a:p>
          <a:pPr algn="ctr"/>
          <a:r>
            <a:rPr lang="en-US" sz="1100" b="0"/>
            <a:t>µ’’/ µ’ is postive</a:t>
          </a:r>
        </a:p>
      </xdr:txBody>
    </xdr:sp>
    <xdr:clientData/>
  </xdr:twoCellAnchor>
  <xdr:twoCellAnchor>
    <xdr:from>
      <xdr:col>8</xdr:col>
      <xdr:colOff>895350</xdr:colOff>
      <xdr:row>27</xdr:row>
      <xdr:rowOff>85725</xdr:rowOff>
    </xdr:from>
    <xdr:to>
      <xdr:col>17</xdr:col>
      <xdr:colOff>419100</xdr:colOff>
      <xdr:row>29</xdr:row>
      <xdr:rowOff>104775</xdr:rowOff>
    </xdr:to>
    <xdr:sp macro="" textlink="">
      <xdr:nvSpPr>
        <xdr:cNvPr id="14" name="TextBox 13"/>
        <xdr:cNvSpPr txBox="1"/>
      </xdr:nvSpPr>
      <xdr:spPr>
        <a:xfrm>
          <a:off x="7343775" y="5591175"/>
          <a:ext cx="83629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 is from decarburation</a:t>
          </a:r>
          <a:r>
            <a:rPr lang="en-US" sz="1100" baseline="0"/>
            <a:t> and has resistivity rapidly dropping off with frequency, much faster than the exponential  ratio of magnetic flux would imply. Use Alan's k below. It may not affect resistivity so much as it affects inductance since the Skin Depth will spread out to compensate.</a:t>
          </a:r>
          <a:endParaRPr lang="en-US" sz="1100"/>
        </a:p>
      </xdr:txBody>
    </xdr:sp>
    <xdr:clientData/>
  </xdr:twoCellAnchor>
  <xdr:twoCellAnchor>
    <xdr:from>
      <xdr:col>2</xdr:col>
      <xdr:colOff>95250</xdr:colOff>
      <xdr:row>48</xdr:row>
      <xdr:rowOff>42862</xdr:rowOff>
    </xdr:from>
    <xdr:to>
      <xdr:col>7</xdr:col>
      <xdr:colOff>381000</xdr:colOff>
      <xdr:row>61</xdr:row>
      <xdr:rowOff>109537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64</xdr:row>
      <xdr:rowOff>0</xdr:rowOff>
    </xdr:from>
    <xdr:to>
      <xdr:col>7</xdr:col>
      <xdr:colOff>285750</xdr:colOff>
      <xdr:row>78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523876</xdr:colOff>
      <xdr:row>19</xdr:row>
      <xdr:rowOff>47626</xdr:rowOff>
    </xdr:from>
    <xdr:to>
      <xdr:col>29</xdr:col>
      <xdr:colOff>333375</xdr:colOff>
      <xdr:row>21</xdr:row>
      <xdr:rowOff>142876</xdr:rowOff>
    </xdr:to>
    <xdr:sp macro="" textlink="">
      <xdr:nvSpPr>
        <xdr:cNvPr id="17" name="TextBox 16"/>
        <xdr:cNvSpPr txBox="1"/>
      </xdr:nvSpPr>
      <xdr:spPr>
        <a:xfrm>
          <a:off x="21697951" y="3876676"/>
          <a:ext cx="3590924"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µ’’ = µ</a:t>
          </a:r>
          <a:r>
            <a:rPr lang="en-US" sz="1100" baseline="-25000">
              <a:solidFill>
                <a:schemeClr val="dk1"/>
              </a:solidFill>
              <a:effectLst/>
              <a:latin typeface="+mn-lt"/>
              <a:ea typeface="+mn-ea"/>
              <a:cs typeface="+mn-cs"/>
            </a:rPr>
            <a:t>I</a:t>
          </a:r>
          <a:r>
            <a:rPr lang="en-US" sz="1100">
              <a:solidFill>
                <a:schemeClr val="dk1"/>
              </a:solidFill>
              <a:effectLst/>
              <a:latin typeface="+mn-lt"/>
              <a:ea typeface="+mn-ea"/>
              <a:cs typeface="+mn-cs"/>
            </a:rPr>
            <a:t>’ (f/ f</a:t>
          </a:r>
          <a:r>
            <a:rPr lang="en-US" sz="1100" baseline="-25000">
              <a:solidFill>
                <a:schemeClr val="dk1"/>
              </a:solidFill>
              <a:effectLst/>
              <a:latin typeface="+mn-lt"/>
              <a:ea typeface="+mn-ea"/>
              <a:cs typeface="+mn-cs"/>
            </a:rPr>
            <a:t>m</a:t>
          </a:r>
          <a:r>
            <a:rPr lang="en-US" sz="1100">
              <a:solidFill>
                <a:schemeClr val="dk1"/>
              </a:solidFill>
              <a:effectLst/>
              <a:latin typeface="+mn-lt"/>
              <a:ea typeface="+mn-ea"/>
              <a:cs typeface="+mn-cs"/>
            </a:rPr>
            <a:t>) / [1+ (f/ f</a:t>
          </a:r>
          <a:r>
            <a:rPr lang="en-US" sz="1100" baseline="-25000">
              <a:solidFill>
                <a:schemeClr val="dk1"/>
              </a:solidFill>
              <a:effectLst/>
              <a:latin typeface="+mn-lt"/>
              <a:ea typeface="+mn-ea"/>
              <a:cs typeface="+mn-cs"/>
            </a:rPr>
            <a:t>m</a:t>
          </a:r>
          <a:r>
            <a:rPr lang="en-US" sz="1100">
              <a:solidFill>
                <a:schemeClr val="dk1"/>
              </a:solidFill>
              <a:effectLst/>
              <a:latin typeface="+mn-lt"/>
              <a:ea typeface="+mn-ea"/>
              <a:cs typeface="+mn-cs"/>
            </a:rPr>
            <a:t>)</a:t>
          </a:r>
          <a:r>
            <a:rPr lang="en-US" sz="1100" baseline="30000">
              <a:solidFill>
                <a:schemeClr val="dk1"/>
              </a:solidFill>
              <a:effectLst/>
              <a:latin typeface="+mn-lt"/>
              <a:ea typeface="+mn-ea"/>
              <a:cs typeface="+mn-cs"/>
            </a:rPr>
            <a:t>2 </a:t>
          </a:r>
          <a:r>
            <a:rPr lang="en-US" sz="1100" baseline="0">
              <a:solidFill>
                <a:schemeClr val="dk1"/>
              </a:solidFill>
              <a:effectLst/>
              <a:latin typeface="+mn-lt"/>
              <a:ea typeface="+mn-ea"/>
              <a:cs typeface="+mn-cs"/>
            </a:rPr>
            <a:t> It is not maintaining a constant ratio </a:t>
          </a:r>
          <a:r>
            <a:rPr lang="en-US" sz="1100" b="1" u="sng" baseline="0">
              <a:solidFill>
                <a:schemeClr val="dk1"/>
              </a:solidFill>
              <a:effectLst/>
              <a:latin typeface="+mn-lt"/>
              <a:ea typeface="+mn-ea"/>
              <a:cs typeface="+mn-cs"/>
            </a:rPr>
            <a:t>is not working very well.</a:t>
          </a:r>
          <a:r>
            <a:rPr lang="en-US" sz="1100" b="1" u="sng">
              <a:solidFill>
                <a:schemeClr val="dk1"/>
              </a:solidFill>
              <a:effectLst/>
              <a:latin typeface="+mn-lt"/>
              <a:ea typeface="+mn-ea"/>
              <a:cs typeface="+mn-cs"/>
            </a:rPr>
            <a:t>]  </a:t>
          </a:r>
          <a:r>
            <a:rPr lang="en-US" sz="1100" b="1" i="1">
              <a:solidFill>
                <a:schemeClr val="dk1"/>
              </a:solidFill>
              <a:effectLst/>
              <a:latin typeface="+mn-lt"/>
              <a:ea typeface="+mn-ea"/>
              <a:cs typeface="+mn-cs"/>
            </a:rPr>
            <a:t>PAYNE's</a:t>
          </a:r>
          <a:r>
            <a:rPr lang="en-US" sz="1100" b="1" i="1" baseline="0">
              <a:solidFill>
                <a:schemeClr val="dk1"/>
              </a:solidFill>
              <a:effectLst/>
              <a:latin typeface="+mn-lt"/>
              <a:ea typeface="+mn-ea"/>
              <a:cs typeface="+mn-cs"/>
            </a:rPr>
            <a:t> Equation 2.5</a:t>
          </a:r>
          <a:endParaRPr lang="en-US" sz="1100" b="1" i="1"/>
        </a:p>
      </xdr:txBody>
    </xdr:sp>
    <xdr:clientData/>
  </xdr:twoCellAnchor>
  <xdr:twoCellAnchor>
    <xdr:from>
      <xdr:col>11</xdr:col>
      <xdr:colOff>152400</xdr:colOff>
      <xdr:row>71</xdr:row>
      <xdr:rowOff>119062</xdr:rowOff>
    </xdr:from>
    <xdr:to>
      <xdr:col>15</xdr:col>
      <xdr:colOff>800100</xdr:colOff>
      <xdr:row>86</xdr:row>
      <xdr:rowOff>4762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285750</xdr:colOff>
      <xdr:row>94</xdr:row>
      <xdr:rowOff>80962</xdr:rowOff>
    </xdr:from>
    <xdr:to>
      <xdr:col>15</xdr:col>
      <xdr:colOff>933450</xdr:colOff>
      <xdr:row>108</xdr:row>
      <xdr:rowOff>157162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190501</xdr:colOff>
      <xdr:row>9</xdr:row>
      <xdr:rowOff>133351</xdr:rowOff>
    </xdr:from>
    <xdr:to>
      <xdr:col>8</xdr:col>
      <xdr:colOff>19050</xdr:colOff>
      <xdr:row>11</xdr:row>
      <xdr:rowOff>190500</xdr:rowOff>
    </xdr:to>
    <xdr:sp macro="" textlink="">
      <xdr:nvSpPr>
        <xdr:cNvPr id="20" name="TextBox 19"/>
        <xdr:cNvSpPr txBox="1"/>
      </xdr:nvSpPr>
      <xdr:spPr>
        <a:xfrm>
          <a:off x="4314826" y="1866901"/>
          <a:ext cx="2152649" cy="476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Q</a:t>
          </a:r>
          <a:r>
            <a:rPr lang="en-US" sz="1100" b="1" i="0" baseline="-25000">
              <a:solidFill>
                <a:schemeClr val="dk1"/>
              </a:solidFill>
              <a:effectLst/>
              <a:latin typeface="+mn-lt"/>
              <a:ea typeface="+mn-ea"/>
              <a:cs typeface="+mn-cs"/>
            </a:rPr>
            <a:t>M</a:t>
          </a:r>
          <a:r>
            <a:rPr lang="en-US" sz="1100" b="1" i="0">
              <a:solidFill>
                <a:schemeClr val="dk1"/>
              </a:solidFill>
              <a:effectLst/>
              <a:latin typeface="+mn-lt"/>
              <a:ea typeface="+mn-ea"/>
              <a:cs typeface="+mn-cs"/>
            </a:rPr>
            <a:t> = µ’/ µ’’ = ω L</a:t>
          </a:r>
          <a:r>
            <a:rPr lang="en-US" sz="1100" b="1" i="0" baseline="-25000">
              <a:solidFill>
                <a:schemeClr val="dk1"/>
              </a:solidFill>
              <a:effectLst/>
              <a:latin typeface="+mn-lt"/>
              <a:ea typeface="+mn-ea"/>
              <a:cs typeface="+mn-cs"/>
            </a:rPr>
            <a:t>I</a:t>
          </a:r>
          <a:r>
            <a:rPr lang="en-US" sz="1100" b="1" i="0">
              <a:solidFill>
                <a:schemeClr val="dk1"/>
              </a:solidFill>
              <a:effectLst/>
              <a:latin typeface="+mn-lt"/>
              <a:ea typeface="+mn-ea"/>
              <a:cs typeface="+mn-cs"/>
            </a:rPr>
            <a:t> / R</a:t>
          </a:r>
          <a:r>
            <a:rPr lang="en-US" sz="1100" b="1" i="0" baseline="-25000">
              <a:solidFill>
                <a:schemeClr val="dk1"/>
              </a:solidFill>
              <a:effectLst/>
              <a:latin typeface="+mn-lt"/>
              <a:ea typeface="+mn-ea"/>
              <a:cs typeface="+mn-cs"/>
            </a:rPr>
            <a:t>M</a:t>
          </a:r>
          <a:r>
            <a:rPr lang="en-US" sz="1100" b="1" i="0">
              <a:solidFill>
                <a:schemeClr val="dk1"/>
              </a:solidFill>
              <a:effectLst/>
              <a:latin typeface="+mn-lt"/>
              <a:ea typeface="+mn-ea"/>
              <a:cs typeface="+mn-cs"/>
            </a:rPr>
            <a:t>         (14)</a:t>
          </a: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so </a:t>
          </a:r>
          <a:r>
            <a:rPr lang="en-US" sz="1100" b="1" i="0">
              <a:solidFill>
                <a:schemeClr val="dk1"/>
              </a:solidFill>
              <a:effectLst/>
              <a:latin typeface="+mn-lt"/>
              <a:ea typeface="+mn-ea"/>
              <a:cs typeface="+mn-cs"/>
            </a:rPr>
            <a:t>R</a:t>
          </a:r>
          <a:r>
            <a:rPr lang="en-US" sz="1100" b="1" i="0" baseline="-25000">
              <a:solidFill>
                <a:schemeClr val="dk1"/>
              </a:solidFill>
              <a:effectLst/>
              <a:latin typeface="+mn-lt"/>
              <a:ea typeface="+mn-ea"/>
              <a:cs typeface="+mn-cs"/>
            </a:rPr>
            <a:t>M</a:t>
          </a:r>
          <a:r>
            <a:rPr lang="en-US" sz="1100" b="1" i="0">
              <a:solidFill>
                <a:schemeClr val="dk1"/>
              </a:solidFill>
              <a:effectLst/>
              <a:latin typeface="+mn-lt"/>
              <a:ea typeface="+mn-ea"/>
              <a:cs typeface="+mn-cs"/>
            </a:rPr>
            <a:t> = ω L</a:t>
          </a:r>
          <a:r>
            <a:rPr lang="en-US" sz="1100" b="1" i="0" baseline="-25000">
              <a:solidFill>
                <a:schemeClr val="dk1"/>
              </a:solidFill>
              <a:effectLst/>
              <a:latin typeface="+mn-lt"/>
              <a:ea typeface="+mn-ea"/>
              <a:cs typeface="+mn-cs"/>
            </a:rPr>
            <a:t>I</a:t>
          </a:r>
          <a:r>
            <a:rPr lang="en-US" sz="1100" b="1" i="0">
              <a:solidFill>
                <a:schemeClr val="dk1"/>
              </a:solidFill>
              <a:effectLst/>
              <a:latin typeface="+mn-lt"/>
              <a:ea typeface="+mn-ea"/>
              <a:cs typeface="+mn-cs"/>
            </a:rPr>
            <a:t>  µ"/ µ' </a:t>
          </a:r>
          <a:endParaRPr lang="en-US" sz="1100" i="0">
            <a:solidFill>
              <a:schemeClr val="dk1"/>
            </a:solidFill>
            <a:effectLst/>
            <a:latin typeface="+mn-lt"/>
            <a:ea typeface="+mn-ea"/>
            <a:cs typeface="+mn-cs"/>
          </a:endParaRPr>
        </a:p>
      </xdr:txBody>
    </xdr:sp>
    <xdr:clientData/>
  </xdr:twoCellAnchor>
  <xdr:twoCellAnchor>
    <xdr:from>
      <xdr:col>16</xdr:col>
      <xdr:colOff>76200</xdr:colOff>
      <xdr:row>94</xdr:row>
      <xdr:rowOff>142875</xdr:rowOff>
    </xdr:from>
    <xdr:to>
      <xdr:col>20</xdr:col>
      <xdr:colOff>723900</xdr:colOff>
      <xdr:row>109</xdr:row>
      <xdr:rowOff>28575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YNE%20Track%20Parameters%20WORKING%20CALCS%2004.16.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an"/>
      <sheetName val="Rectangle Formula"/>
      <sheetName val="PAYNE Equations"/>
      <sheetName val="Negative Exponential References"/>
      <sheetName val="My Complex Permeability"/>
    </sheetNames>
    <sheetDataSet>
      <sheetData sheetId="0">
        <row r="22">
          <cell r="Q22">
            <v>1.2970986151741715</v>
          </cell>
        </row>
      </sheetData>
      <sheetData sheetId="1"/>
      <sheetData sheetId="2">
        <row r="9">
          <cell r="J9">
            <v>20</v>
          </cell>
          <cell r="K9">
            <v>50</v>
          </cell>
          <cell r="L9">
            <v>75</v>
          </cell>
          <cell r="M9">
            <v>100</v>
          </cell>
          <cell r="N9">
            <v>125</v>
          </cell>
          <cell r="O9">
            <v>150</v>
          </cell>
          <cell r="P9">
            <v>175</v>
          </cell>
          <cell r="Q9">
            <v>200</v>
          </cell>
          <cell r="R9">
            <v>250</v>
          </cell>
          <cell r="S9">
            <v>275</v>
          </cell>
          <cell r="T9">
            <v>300</v>
          </cell>
          <cell r="U9">
            <v>500</v>
          </cell>
          <cell r="V9">
            <v>1000</v>
          </cell>
          <cell r="W9">
            <v>5000</v>
          </cell>
        </row>
        <row r="10">
          <cell r="I10" t="str">
            <v>µRT</v>
          </cell>
          <cell r="J10">
            <v>1.1254880223583907</v>
          </cell>
          <cell r="K10">
            <v>1.1821654273288376</v>
          </cell>
          <cell r="L10">
            <v>1.138421223560518</v>
          </cell>
          <cell r="M10">
            <v>1.1136093593798906</v>
          </cell>
          <cell r="N10">
            <v>1.150146883030261</v>
          </cell>
          <cell r="O10">
            <v>1.1757555304701706</v>
          </cell>
          <cell r="P10">
            <v>1.1386856004625725</v>
          </cell>
          <cell r="Q10">
            <v>1.145546172748882</v>
          </cell>
          <cell r="R10">
            <v>1.1106031254456252</v>
          </cell>
          <cell r="S10">
            <v>1.1319279375792155</v>
          </cell>
          <cell r="T10">
            <v>1.1274155058443647</v>
          </cell>
          <cell r="U10">
            <v>1.1064580901663079</v>
          </cell>
          <cell r="V10">
            <v>1.1356838214064133</v>
          </cell>
          <cell r="W10">
            <v>1.0870797498737306</v>
          </cell>
        </row>
        <row r="11">
          <cell r="I11" t="str">
            <v>µ'/ µ" WTG</v>
          </cell>
          <cell r="J11">
            <v>0.27169932204494823</v>
          </cell>
          <cell r="K11">
            <v>0.64017001713121324</v>
          </cell>
          <cell r="L11">
            <v>0.71677639644403623</v>
          </cell>
          <cell r="M11">
            <v>0.77536429816647312</v>
          </cell>
          <cell r="N11">
            <v>0.79366251490761464</v>
          </cell>
          <cell r="O11">
            <v>0.87734335605311731</v>
          </cell>
          <cell r="P11">
            <v>0.83143928974053627</v>
          </cell>
          <cell r="Q11">
            <v>0.85760489645465987</v>
          </cell>
          <cell r="R11">
            <v>0.9235218271643505</v>
          </cell>
          <cell r="S11">
            <v>1.0059009120294582</v>
          </cell>
          <cell r="T11">
            <v>0.90834551131113994</v>
          </cell>
          <cell r="U11">
            <v>0.98666310142597013</v>
          </cell>
          <cell r="V11">
            <v>1.4114230633834908</v>
          </cell>
          <cell r="W11">
            <v>9.0475840201294861</v>
          </cell>
        </row>
        <row r="66">
          <cell r="J66">
            <v>20</v>
          </cell>
          <cell r="K66">
            <v>50</v>
          </cell>
          <cell r="L66">
            <v>75</v>
          </cell>
          <cell r="M66">
            <v>100</v>
          </cell>
          <cell r="N66">
            <v>125</v>
          </cell>
          <cell r="O66">
            <v>150</v>
          </cell>
          <cell r="P66">
            <v>175</v>
          </cell>
          <cell r="Q66">
            <v>200</v>
          </cell>
          <cell r="R66">
            <v>250</v>
          </cell>
          <cell r="S66">
            <v>275</v>
          </cell>
          <cell r="T66">
            <v>300</v>
          </cell>
          <cell r="U66">
            <v>500</v>
          </cell>
          <cell r="V66">
            <v>1000</v>
          </cell>
          <cell r="W66">
            <v>5000</v>
          </cell>
        </row>
        <row r="67">
          <cell r="I67" t="str">
            <v>Skin Effect</v>
          </cell>
          <cell r="J67">
            <v>0.338148057019384</v>
          </cell>
          <cell r="K67">
            <v>0.2732982250951202</v>
          </cell>
          <cell r="L67">
            <v>0.31303235134854257</v>
          </cell>
          <cell r="M67">
            <v>0.36868022112026771</v>
          </cell>
          <cell r="N67">
            <v>0.41907183192341063</v>
          </cell>
          <cell r="O67">
            <v>0.46517354863678645</v>
          </cell>
          <cell r="P67">
            <v>0.50787405041464306</v>
          </cell>
          <cell r="Q67">
            <v>0.54779368935434458</v>
          </cell>
          <cell r="R67">
            <v>0.62097228368520674</v>
          </cell>
          <cell r="S67">
            <v>0.65482948167857857</v>
          </cell>
          <cell r="T67">
            <v>0.6871602299410362</v>
          </cell>
          <cell r="U67">
            <v>0.90629543250874312</v>
          </cell>
          <cell r="V67">
            <v>1.2915420468309027</v>
          </cell>
          <cell r="W67">
            <v>2.3865618266824757</v>
          </cell>
        </row>
        <row r="68">
          <cell r="I68" t="str">
            <v>Total Losses</v>
          </cell>
          <cell r="J68">
            <v>0.78707454535232801</v>
          </cell>
          <cell r="K68">
            <v>0.8914459522951359</v>
          </cell>
          <cell r="L68">
            <v>1.0528822461873999</v>
          </cell>
          <cell r="M68">
            <v>1.15586356544001</v>
          </cell>
          <cell r="N68">
            <v>1.27556707084357</v>
          </cell>
          <cell r="O68">
            <v>1.3113236625142499</v>
          </cell>
          <cell r="P68">
            <v>1.4699418419281498</v>
          </cell>
          <cell r="Q68">
            <v>1.5429779079566399</v>
          </cell>
          <cell r="R68">
            <v>1.6512729120246099</v>
          </cell>
          <cell r="S68">
            <v>1.6458756012334099</v>
          </cell>
          <cell r="T68">
            <v>1.83243448967637</v>
          </cell>
          <cell r="U68">
            <v>2.2621458472537199</v>
          </cell>
          <cell r="V68">
            <v>2.62260332728478</v>
          </cell>
          <cell r="W68">
            <v>2.7728195662793</v>
          </cell>
        </row>
        <row r="89">
          <cell r="J89">
            <v>20</v>
          </cell>
          <cell r="K89">
            <v>50</v>
          </cell>
          <cell r="L89">
            <v>75</v>
          </cell>
          <cell r="M89">
            <v>100</v>
          </cell>
          <cell r="N89">
            <v>125</v>
          </cell>
          <cell r="O89">
            <v>150</v>
          </cell>
          <cell r="P89">
            <v>175</v>
          </cell>
          <cell r="Q89">
            <v>200</v>
          </cell>
          <cell r="R89">
            <v>250</v>
          </cell>
          <cell r="S89">
            <v>275</v>
          </cell>
          <cell r="T89">
            <v>300</v>
          </cell>
          <cell r="U89">
            <v>500</v>
          </cell>
          <cell r="V89">
            <v>1000</v>
          </cell>
          <cell r="W89">
            <v>5000</v>
          </cell>
        </row>
        <row r="90">
          <cell r="I90" t="str">
            <v>External</v>
          </cell>
          <cell r="J90">
            <v>0.18345254339392572</v>
          </cell>
          <cell r="K90">
            <v>0.48172714868480337</v>
          </cell>
          <cell r="L90">
            <v>0.69585237059490479</v>
          </cell>
          <cell r="M90">
            <v>0.90758171240878571</v>
          </cell>
          <cell r="N90">
            <v>1.1716993360709282</v>
          </cell>
          <cell r="O90">
            <v>1.4373454327544788</v>
          </cell>
          <cell r="P90">
            <v>1.6240325948251835</v>
          </cell>
          <cell r="Q90">
            <v>1.8672198618835267</v>
          </cell>
          <cell r="R90">
            <v>2.2628291462990457</v>
          </cell>
          <cell r="S90">
            <v>2.5369057739688499</v>
          </cell>
          <cell r="T90">
            <v>2.7565007965456307</v>
          </cell>
          <cell r="U90">
            <v>4.5087674583701336</v>
          </cell>
          <cell r="V90">
            <v>9.2557220241121367</v>
          </cell>
          <cell r="W90">
            <v>44.298015843935943</v>
          </cell>
        </row>
        <row r="91">
          <cell r="I91" t="str">
            <v>Total</v>
          </cell>
          <cell r="J91">
            <v>0.30542556592200598</v>
          </cell>
          <cell r="K91">
            <v>0.87744678979605806</v>
          </cell>
          <cell r="L91">
            <v>1.2261593121270002</v>
          </cell>
          <cell r="M91">
            <v>1.5179355737055999</v>
          </cell>
          <cell r="N91">
            <v>1.8514675013987003</v>
          </cell>
          <cell r="O91">
            <v>2.1797096133884599</v>
          </cell>
          <cell r="P91">
            <v>2.4239335560834201</v>
          </cell>
          <cell r="Q91">
            <v>2.7206947206312599</v>
          </cell>
          <cell r="R91">
            <v>3.2143342651116296</v>
          </cell>
          <cell r="S91">
            <v>3.5337999694923101</v>
          </cell>
          <cell r="T91">
            <v>3.7968055295964098</v>
          </cell>
          <cell r="U91">
            <v>5.8465350336521</v>
          </cell>
          <cell r="V91">
            <v>11.1344126141215</v>
          </cell>
          <cell r="W91">
            <v>47.79271519636351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eepower.com/capacitor-guide/fundamentals/parasitic-inductance/" TargetMode="External"/><Relationship Id="rId7" Type="http://schemas.openxmlformats.org/officeDocument/2006/relationships/hyperlink" Target="https://techweb.rohm.com/knowledge/emc/s-emc/04-s-emc/8136" TargetMode="External"/><Relationship Id="rId2" Type="http://schemas.openxmlformats.org/officeDocument/2006/relationships/hyperlink" Target="https://www.millersville.edu/physics/experiments/104/index.php" TargetMode="External"/><Relationship Id="rId1" Type="http://schemas.openxmlformats.org/officeDocument/2006/relationships/hyperlink" Target="https://eepower.com/capacitor-guide/fundamentals/parasitic-inductance/" TargetMode="External"/><Relationship Id="rId6" Type="http://schemas.openxmlformats.org/officeDocument/2006/relationships/hyperlink" Target="https://uk.farnell.com/parasitic-capacitance-definition" TargetMode="External"/><Relationship Id="rId5" Type="http://schemas.openxmlformats.org/officeDocument/2006/relationships/hyperlink" Target="https://www.mdpi.com/1424-8220/20/24/7259/pdf" TargetMode="External"/><Relationship Id="rId4" Type="http://schemas.openxmlformats.org/officeDocument/2006/relationships/hyperlink" Target="https://techweb.rohm.com/knowledge/emc/s-emc/03-s-emc/7549"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en.wikipedia.org/wiki/Inductanc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11"/>
  <sheetViews>
    <sheetView tabSelected="1" workbookViewId="0">
      <selection activeCell="G9" sqref="G9"/>
    </sheetView>
  </sheetViews>
  <sheetFormatPr defaultRowHeight="15"/>
  <sheetData>
    <row r="4" spans="3:3">
      <c r="C4" t="s">
        <v>440</v>
      </c>
    </row>
    <row r="5" spans="3:3">
      <c r="C5" t="s">
        <v>441</v>
      </c>
    </row>
    <row r="7" spans="3:3">
      <c r="C7" t="s">
        <v>443</v>
      </c>
    </row>
    <row r="8" spans="3:3">
      <c r="C8" t="s">
        <v>444</v>
      </c>
    </row>
    <row r="11" spans="3:3">
      <c r="C11" s="75" t="s">
        <v>442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AC97"/>
  <sheetViews>
    <sheetView topLeftCell="F1" zoomScale="25" zoomScaleNormal="25" workbookViewId="0">
      <selection activeCell="U83" sqref="U83:W84"/>
    </sheetView>
  </sheetViews>
  <sheetFormatPr defaultRowHeight="15"/>
  <cols>
    <col min="2" max="2" width="9.85546875" customWidth="1"/>
    <col min="3" max="3" width="10.7109375" bestFit="1" customWidth="1"/>
    <col min="4" max="4" width="11.7109375" bestFit="1" customWidth="1"/>
    <col min="7" max="7" width="38.140625" customWidth="1"/>
    <col min="8" max="8" width="35.5703125" bestFit="1" customWidth="1"/>
    <col min="9" max="9" width="35.85546875" customWidth="1"/>
    <col min="10" max="10" width="12.42578125" customWidth="1"/>
    <col min="11" max="11" width="36.5703125" bestFit="1" customWidth="1"/>
    <col min="12" max="12" width="44.85546875" bestFit="1" customWidth="1"/>
    <col min="13" max="13" width="47.42578125" bestFit="1" customWidth="1"/>
    <col min="14" max="14" width="11.5703125" customWidth="1"/>
    <col min="19" max="19" width="13" customWidth="1"/>
    <col min="20" max="20" width="14.28515625" bestFit="1" customWidth="1"/>
    <col min="21" max="21" width="14.5703125" bestFit="1" customWidth="1"/>
    <col min="29" max="29" width="14.5703125" bestFit="1" customWidth="1"/>
  </cols>
  <sheetData>
    <row r="2" spans="2:2">
      <c r="B2" t="s">
        <v>175</v>
      </c>
    </row>
    <row r="3" spans="2:2">
      <c r="B3" s="26" t="s">
        <v>176</v>
      </c>
    </row>
    <row r="17" spans="2:29">
      <c r="O17" s="26"/>
      <c r="P17" s="26"/>
      <c r="Q17" s="26"/>
      <c r="R17" s="26"/>
      <c r="S17" s="26"/>
      <c r="T17" s="26"/>
      <c r="U17" s="26"/>
      <c r="V17" s="26"/>
    </row>
    <row r="18" spans="2:29" ht="15.75" thickBot="1">
      <c r="O18" s="26"/>
      <c r="P18" s="26"/>
      <c r="Q18" s="26"/>
      <c r="R18" s="26"/>
      <c r="S18" s="26"/>
      <c r="T18" s="26"/>
      <c r="U18" s="26"/>
      <c r="V18" s="26"/>
    </row>
    <row r="19" spans="2:29">
      <c r="B19" s="4"/>
      <c r="C19" s="4"/>
      <c r="D19" s="4"/>
      <c r="H19" s="11" t="s">
        <v>0</v>
      </c>
      <c r="I19" s="12" t="s">
        <v>1</v>
      </c>
      <c r="J19" s="12"/>
      <c r="K19" s="13" t="s">
        <v>2</v>
      </c>
      <c r="O19" s="26"/>
      <c r="P19" s="26"/>
      <c r="Q19" s="26"/>
      <c r="R19" s="26"/>
      <c r="S19" s="26"/>
      <c r="T19" s="26"/>
      <c r="U19" s="26"/>
      <c r="V19" s="26"/>
    </row>
    <row r="20" spans="2:29" ht="15.75" thickBot="1">
      <c r="B20" s="2" t="s">
        <v>40</v>
      </c>
      <c r="C20" s="5">
        <f>C21*3.28084</f>
        <v>1771.6536000000001</v>
      </c>
      <c r="D20" s="5" t="s">
        <v>41</v>
      </c>
      <c r="G20" t="str">
        <f>COMPLEX(1,1,"j")</f>
        <v>1+j</v>
      </c>
      <c r="H20" s="14" t="str">
        <f>IMDIV(IMLN(IMDIV(IMSUM(1,G20),IMSUB(1,G20))),2)</f>
        <v>0.402359478108525+1.01722196789785j</v>
      </c>
      <c r="I20" s="15" t="str">
        <f>IMEXP(IMPRODUCT(2,H20))</f>
        <v>-0.999999999999994+2j</v>
      </c>
      <c r="J20" s="15"/>
      <c r="K20" s="16" t="str">
        <f>IMDIV(IMSUB(I20,1),IMSUM(I20,1))</f>
        <v>0.999999999999997+0.999999999999998j</v>
      </c>
      <c r="O20" s="26"/>
      <c r="P20" s="26"/>
      <c r="Q20" s="26"/>
      <c r="R20" s="26"/>
      <c r="S20" s="26"/>
      <c r="T20" s="26"/>
      <c r="U20" s="26"/>
      <c r="V20" s="26"/>
    </row>
    <row r="21" spans="2:29">
      <c r="B21" s="1" t="s">
        <v>47</v>
      </c>
      <c r="C21" s="2">
        <v>540</v>
      </c>
      <c r="D21" s="23" t="s">
        <v>46</v>
      </c>
      <c r="N21" t="s">
        <v>96</v>
      </c>
    </row>
    <row r="22" spans="2:29">
      <c r="G22" s="140" t="s">
        <v>44</v>
      </c>
      <c r="H22" s="140"/>
      <c r="I22" s="140"/>
      <c r="J22" s="31"/>
      <c r="K22" s="141" t="s">
        <v>48</v>
      </c>
      <c r="L22" s="141"/>
    </row>
    <row r="23" spans="2:29" ht="15.75" thickBot="1">
      <c r="C23" s="3" t="s">
        <v>39</v>
      </c>
      <c r="D23" s="3" t="s">
        <v>38</v>
      </c>
      <c r="S23" s="142" t="s">
        <v>177</v>
      </c>
      <c r="T23" s="143"/>
      <c r="U23" s="143"/>
      <c r="V23" s="143"/>
      <c r="W23" s="143"/>
      <c r="X23" s="143"/>
      <c r="Y23" s="143"/>
    </row>
    <row r="24" spans="2:29" ht="27.75" thickTop="1" thickBot="1">
      <c r="B24" s="1" t="s">
        <v>33</v>
      </c>
      <c r="C24" t="s">
        <v>34</v>
      </c>
      <c r="D24" t="s">
        <v>35</v>
      </c>
      <c r="K24" s="7" t="s">
        <v>36</v>
      </c>
      <c r="L24" s="33" t="s">
        <v>37</v>
      </c>
      <c r="M24" s="66" t="s">
        <v>178</v>
      </c>
      <c r="N24" s="1" t="s">
        <v>105</v>
      </c>
      <c r="O24" s="1" t="s">
        <v>106</v>
      </c>
      <c r="P24" s="62" t="s">
        <v>107</v>
      </c>
      <c r="Q24" s="62" t="s">
        <v>108</v>
      </c>
      <c r="S24" s="68" t="s">
        <v>53</v>
      </c>
      <c r="T24" t="s">
        <v>103</v>
      </c>
      <c r="U24" t="s">
        <v>104</v>
      </c>
      <c r="V24" t="s">
        <v>105</v>
      </c>
      <c r="W24" t="s">
        <v>106</v>
      </c>
      <c r="X24" s="1" t="s">
        <v>107</v>
      </c>
      <c r="Y24" t="s">
        <v>108</v>
      </c>
    </row>
    <row r="25" spans="2:29" ht="15.75" thickBot="1">
      <c r="B25" s="1">
        <v>20</v>
      </c>
      <c r="C25" t="s">
        <v>3</v>
      </c>
      <c r="D25" t="s">
        <v>4</v>
      </c>
      <c r="G25" t="str">
        <f>IMSQRT(IMDIV(D25,C25))</f>
        <v>0.167666081662963+0.0541277283614576j</v>
      </c>
      <c r="H25" t="str">
        <f t="shared" ref="H25:H39" si="0">IMDIV(IMLN(IMDIV(IMSUM(1,G25),IMSUB(1,G25))),2)</f>
        <v>0.168745858893935+0.055631074535877j</v>
      </c>
      <c r="I25" t="str">
        <f>IMSQRT(IMPRODUCT(C25,D25))</f>
        <v>2.54754490925308+0.131852435173943j</v>
      </c>
      <c r="K25" s="9" t="str">
        <f>IMDIV(I25,H25)</f>
        <v>13.8493191242004-3.78438957543242j</v>
      </c>
      <c r="L25" s="65" t="str">
        <f>IMPRODUCT(I25,H25)</f>
        <v>0.422552561133884+0.163972213150836j</v>
      </c>
      <c r="M25" s="67" t="str">
        <f>IMDIV(1,K25)</f>
        <v>0.0671888547512507+0.0183596608053868j</v>
      </c>
      <c r="N25" s="59">
        <f>IMREAL(L25)*1000/$C$21</f>
        <v>0.78250474284052596</v>
      </c>
      <c r="O25" s="59">
        <f>IMAGINARY(L25)*1000/$C$21/2/PI()/B25*1000</f>
        <v>2.4163878011734661</v>
      </c>
      <c r="P25" s="63">
        <f>1/IMREAL(M25)*$C$21/1000</f>
        <v>8.0370472453982114</v>
      </c>
      <c r="Q25" s="63">
        <f>IMAGINARY(M25)/$C$21*1000/2/PI()/B25*1000000</f>
        <v>270.55840469146642</v>
      </c>
      <c r="S25" s="68">
        <v>20</v>
      </c>
      <c r="T25" t="s">
        <v>109</v>
      </c>
      <c r="U25" t="s">
        <v>110</v>
      </c>
      <c r="V25" s="1" t="s">
        <v>111</v>
      </c>
      <c r="W25" s="1" t="s">
        <v>112</v>
      </c>
      <c r="X25" s="1">
        <v>8.0370000000000008</v>
      </c>
      <c r="Y25" s="1">
        <v>270.55799999999999</v>
      </c>
    </row>
    <row r="26" spans="2:29">
      <c r="B26" s="1">
        <v>50</v>
      </c>
      <c r="C26" t="s">
        <v>5</v>
      </c>
      <c r="D26" t="s">
        <v>6</v>
      </c>
      <c r="G26" t="str">
        <f t="shared" ref="G26:G39" si="1">IMSQRT(IMDIV(D26,C26))</f>
        <v>0.199781157152126+0.0977036545828438j</v>
      </c>
      <c r="H26" t="str">
        <f t="shared" si="0"/>
        <v>0.200457664594223+0.101375042772208j</v>
      </c>
      <c r="I26" t="str">
        <f t="shared" ref="I26:I39" si="2">IMSQRT(IMPRODUCT(C26,D26))</f>
        <v>2.84761151655983+0.909885349505175j</v>
      </c>
      <c r="K26" s="9" t="str">
        <f t="shared" ref="K26:K39" si="3">IMDIV(I26,H26)</f>
        <v>13.1403671483725-2.10627981253941j</v>
      </c>
      <c r="L26" s="28" t="str">
        <f t="shared" ref="L26:L39" si="4">IMPRODUCT(I26,H26)</f>
        <v>0.478585888057305+0.471070231500191j</v>
      </c>
      <c r="M26" s="67" t="str">
        <f t="shared" ref="M26:M39" si="5">IMDIV(1,K26)</f>
        <v>0.0741950702927184+0.0118927863265107j</v>
      </c>
      <c r="N26" s="59">
        <f t="shared" ref="N26:N39" si="6">IMREAL(L26)*1000/$C$21</f>
        <v>0.88627016306908335</v>
      </c>
      <c r="O26" s="59">
        <f t="shared" ref="O26:O39" si="7">IMAGINARY(L26)*1000/$C$21/2/PI()/B26*1000</f>
        <v>2.776783551359217</v>
      </c>
      <c r="P26" s="63">
        <f t="shared" ref="P26:P39" si="8">1/IMREAL(M26)*$C$21/1000</f>
        <v>7.2781115762753883</v>
      </c>
      <c r="Q26" s="63">
        <f t="shared" ref="Q26:Q39" si="9">IMAGINARY(M26)/$C$21*1000/2/PI()/B26*1000000</f>
        <v>70.103545592588205</v>
      </c>
      <c r="S26" s="68">
        <v>50</v>
      </c>
      <c r="T26" t="s">
        <v>113</v>
      </c>
      <c r="U26" t="s">
        <v>114</v>
      </c>
      <c r="V26" s="1" t="s">
        <v>115</v>
      </c>
      <c r="W26" s="1" t="s">
        <v>116</v>
      </c>
      <c r="X26" s="1">
        <v>7.2779999999999996</v>
      </c>
      <c r="Y26" s="1">
        <v>70.103999999999999</v>
      </c>
    </row>
    <row r="27" spans="2:29">
      <c r="B27" s="1">
        <v>75</v>
      </c>
      <c r="C27" t="s">
        <v>7</v>
      </c>
      <c r="D27" t="s">
        <v>8</v>
      </c>
      <c r="G27" t="str">
        <f t="shared" si="1"/>
        <v>0.226192043250388+0.116182679673833j</v>
      </c>
      <c r="H27" t="str">
        <f t="shared" si="0"/>
        <v>0.226833699415292+0.121749810115185j</v>
      </c>
      <c r="I27" t="str">
        <f t="shared" si="2"/>
        <v>3.14386688158348+1.21461885755057j</v>
      </c>
      <c r="K27" s="9" t="str">
        <f t="shared" si="3"/>
        <v>12.9912413294736-1.6182000664785j</v>
      </c>
      <c r="L27" s="28" t="str">
        <f t="shared" si="4"/>
        <v>0.565255339949694+0.658281684697979j</v>
      </c>
      <c r="M27" s="67" t="str">
        <f t="shared" si="5"/>
        <v>0.0757988878413452+0.00944157392146846j</v>
      </c>
      <c r="N27" s="59">
        <f t="shared" si="6"/>
        <v>1.0467691480549888</v>
      </c>
      <c r="O27" s="59">
        <f t="shared" si="7"/>
        <v>2.5868835571986137</v>
      </c>
      <c r="P27" s="63">
        <f t="shared" si="8"/>
        <v>7.1241150810850291</v>
      </c>
      <c r="Q27" s="63">
        <f t="shared" si="9"/>
        <v>37.103040991832991</v>
      </c>
      <c r="S27" s="68">
        <v>75</v>
      </c>
      <c r="T27" t="s">
        <v>117</v>
      </c>
      <c r="U27" t="s">
        <v>118</v>
      </c>
      <c r="V27" s="1" t="s">
        <v>119</v>
      </c>
      <c r="W27" s="1" t="s">
        <v>120</v>
      </c>
      <c r="X27" s="1">
        <v>7.1239999999999997</v>
      </c>
      <c r="Y27" s="1">
        <v>37.103000000000002</v>
      </c>
    </row>
    <row r="28" spans="2:29">
      <c r="B28" s="1">
        <v>100</v>
      </c>
      <c r="C28" t="s">
        <v>9</v>
      </c>
      <c r="D28" t="s">
        <v>10</v>
      </c>
      <c r="G28" t="str">
        <f t="shared" si="1"/>
        <v>0.244183120869221+0.132700580557437j</v>
      </c>
      <c r="H28" t="str">
        <f t="shared" si="0"/>
        <v>0.244455510140509+0.140028049680421j</v>
      </c>
      <c r="I28" t="str">
        <f t="shared" si="2"/>
        <v>3.34912097683078+1.41520716414523j</v>
      </c>
      <c r="K28" s="9" t="str">
        <f t="shared" si="3"/>
        <v>12.8124798665392-1.54997284748511j</v>
      </c>
      <c r="L28" s="28" t="str">
        <f t="shared" si="4"/>
        <v>0.620542377824432+0.814926067795026j</v>
      </c>
      <c r="M28" s="67" t="str">
        <f t="shared" si="5"/>
        <v>0.0769231610250629+0.00930567791508869j</v>
      </c>
      <c r="N28" s="59">
        <f t="shared" si="6"/>
        <v>1.149152551526726</v>
      </c>
      <c r="O28" s="59">
        <f t="shared" si="7"/>
        <v>2.4018428137781367</v>
      </c>
      <c r="P28" s="63">
        <f t="shared" si="8"/>
        <v>7.0199923248611515</v>
      </c>
      <c r="Q28" s="63">
        <f t="shared" si="9"/>
        <v>27.426752574211999</v>
      </c>
      <c r="S28" s="68">
        <v>100</v>
      </c>
      <c r="T28" t="s">
        <v>121</v>
      </c>
      <c r="U28" t="s">
        <v>122</v>
      </c>
      <c r="V28" s="1" t="s">
        <v>123</v>
      </c>
      <c r="W28" s="1" t="s">
        <v>124</v>
      </c>
      <c r="X28" s="1">
        <v>7.02</v>
      </c>
      <c r="Y28" s="1">
        <v>27.427</v>
      </c>
      <c r="AC28">
        <f>0.00816235624830029/540</f>
        <v>1.5115474533889424E-5</v>
      </c>
    </row>
    <row r="29" spans="2:29">
      <c r="B29" s="1">
        <v>125</v>
      </c>
      <c r="C29" t="s">
        <v>11</v>
      </c>
      <c r="D29" t="s">
        <v>12</v>
      </c>
      <c r="G29" t="str">
        <f t="shared" si="1"/>
        <v>0.265088909692439+0.145217888078658j</v>
      </c>
      <c r="H29" t="str">
        <f t="shared" si="0"/>
        <v>0.265271057089154+0.154687278041757j</v>
      </c>
      <c r="I29" t="str">
        <f t="shared" si="2"/>
        <v>3.55702835827078+1.67285705950704j</v>
      </c>
      <c r="K29" s="9" t="str">
        <f t="shared" si="3"/>
        <v>12.7506475228429-1.12905607704781j</v>
      </c>
      <c r="L29" s="28" t="str">
        <f t="shared" si="4"/>
        <v>0.684806967606506+0.993987595192733j</v>
      </c>
      <c r="M29" s="67" t="str">
        <f t="shared" si="5"/>
        <v>0.0778172315122808+0.00689063186638757j</v>
      </c>
      <c r="N29" s="59">
        <f t="shared" si="6"/>
        <v>1.2681610511231591</v>
      </c>
      <c r="O29" s="59">
        <f t="shared" si="7"/>
        <v>2.3436746540288791</v>
      </c>
      <c r="P29" s="63">
        <f t="shared" si="8"/>
        <v>6.9393370787648676</v>
      </c>
      <c r="Q29" s="63">
        <f t="shared" si="9"/>
        <v>16.247083297216509</v>
      </c>
      <c r="S29" s="68">
        <v>125</v>
      </c>
      <c r="T29" t="s">
        <v>125</v>
      </c>
      <c r="U29" t="s">
        <v>126</v>
      </c>
      <c r="V29" s="1" t="s">
        <v>127</v>
      </c>
      <c r="W29" s="1" t="s">
        <v>128</v>
      </c>
      <c r="X29" s="1">
        <v>6.9390000000000001</v>
      </c>
      <c r="Y29" s="1">
        <v>16.247</v>
      </c>
    </row>
    <row r="30" spans="2:29">
      <c r="B30" s="1">
        <v>150</v>
      </c>
      <c r="C30" t="s">
        <v>13</v>
      </c>
      <c r="D30" t="s">
        <v>14</v>
      </c>
      <c r="G30" t="str">
        <f t="shared" si="1"/>
        <v>0.275656332390683+0.167125838284015j</v>
      </c>
      <c r="H30" t="str">
        <f t="shared" si="0"/>
        <v>0.274263059263366+0.178514360266594j</v>
      </c>
      <c r="I30" t="str">
        <f t="shared" si="2"/>
        <v>3.75376113045673+1.82346445661213j</v>
      </c>
      <c r="K30" s="9" t="str">
        <f t="shared" si="3"/>
        <v>12.6534964899474-1.58740435403792j</v>
      </c>
      <c r="L30" s="28" t="str">
        <f t="shared" si="4"/>
        <v>0.704003420441987+1.17020920712554j</v>
      </c>
      <c r="M30" s="67" t="str">
        <f t="shared" si="5"/>
        <v>0.0778050311913839+0.00976078393647007j</v>
      </c>
      <c r="N30" s="59">
        <f t="shared" si="6"/>
        <v>1.3037100378555315</v>
      </c>
      <c r="O30" s="59">
        <f t="shared" si="7"/>
        <v>2.2993157995762634</v>
      </c>
      <c r="P30" s="63">
        <f t="shared" si="8"/>
        <v>6.9404252107002478</v>
      </c>
      <c r="Q30" s="63">
        <f t="shared" si="9"/>
        <v>19.178728542483707</v>
      </c>
      <c r="S30" s="68">
        <v>150</v>
      </c>
      <c r="T30" t="s">
        <v>129</v>
      </c>
      <c r="U30" t="s">
        <v>130</v>
      </c>
      <c r="V30" s="1" t="s">
        <v>131</v>
      </c>
      <c r="W30" s="1" t="s">
        <v>132</v>
      </c>
      <c r="X30" s="1">
        <v>6.94</v>
      </c>
      <c r="Y30" s="1">
        <v>19.178999999999998</v>
      </c>
    </row>
    <row r="31" spans="2:29">
      <c r="B31" s="1">
        <v>175</v>
      </c>
      <c r="C31" t="s">
        <v>15</v>
      </c>
      <c r="D31" t="s">
        <v>16</v>
      </c>
      <c r="G31" t="str">
        <f t="shared" si="1"/>
        <v>0.294471223081809+0.172135145129116j</v>
      </c>
      <c r="H31" t="str">
        <f t="shared" si="0"/>
        <v>0.293381602173922+0.185753355467817j</v>
      </c>
      <c r="I31" t="str">
        <f t="shared" si="2"/>
        <v>3.92487865617112+1.95058259647409j</v>
      </c>
      <c r="K31" s="9" t="str">
        <f t="shared" si="3"/>
        <v>12.5547453274639-1.30036604994767j</v>
      </c>
      <c r="L31" s="28" t="str">
        <f t="shared" si="4"/>
        <v>0.789159926073524+1.30132442751394j</v>
      </c>
      <c r="M31" s="67" t="str">
        <f t="shared" si="5"/>
        <v>0.0788057362567777+0.00816235624830029j</v>
      </c>
      <c r="N31" s="59">
        <f t="shared" si="6"/>
        <v>1.461407270506526</v>
      </c>
      <c r="O31" s="59">
        <f t="shared" si="7"/>
        <v>2.1916636529637503</v>
      </c>
      <c r="P31" s="63">
        <f t="shared" si="8"/>
        <v>6.8522930645617466</v>
      </c>
      <c r="Q31" s="63">
        <f t="shared" si="9"/>
        <v>13.746871367132369</v>
      </c>
      <c r="S31" s="68">
        <v>175</v>
      </c>
      <c r="T31" t="s">
        <v>133</v>
      </c>
      <c r="U31" t="s">
        <v>134</v>
      </c>
      <c r="V31" s="1" t="s">
        <v>135</v>
      </c>
      <c r="W31" s="1" t="s">
        <v>136</v>
      </c>
      <c r="X31" s="1">
        <v>6.8520000000000003</v>
      </c>
      <c r="Y31" s="1">
        <v>13.747</v>
      </c>
    </row>
    <row r="32" spans="2:29">
      <c r="B32" s="1">
        <v>200</v>
      </c>
      <c r="C32" t="s">
        <v>17</v>
      </c>
      <c r="D32" t="s">
        <v>18</v>
      </c>
      <c r="G32" t="str">
        <f t="shared" si="1"/>
        <v>0.308100264132688+0.185841663188108j</v>
      </c>
      <c r="H32" t="str">
        <f t="shared" si="0"/>
        <v>0.306025698740867+0.201764225844031j</v>
      </c>
      <c r="I32" t="str">
        <f t="shared" si="2"/>
        <v>4.08013085135443+2.08289888476955j</v>
      </c>
      <c r="K32" s="9" t="str">
        <f t="shared" si="3"/>
        <v>12.4209048730455-1.3828752714692j</v>
      </c>
      <c r="L32" s="28" t="str">
        <f t="shared" si="4"/>
        <v>0.828370413742984+1.46064502918405j</v>
      </c>
      <c r="M32" s="67" t="str">
        <f t="shared" si="5"/>
        <v>0.0795237064119662+0.00885373233405343j</v>
      </c>
      <c r="N32" s="59">
        <f t="shared" si="6"/>
        <v>1.5340192847092298</v>
      </c>
      <c r="O32" s="59">
        <f t="shared" si="7"/>
        <v>2.1524895971967344</v>
      </c>
      <c r="P32" s="63">
        <f t="shared" si="8"/>
        <v>6.7904279662541542</v>
      </c>
      <c r="Q32" s="63">
        <f t="shared" si="9"/>
        <v>13.047363572010624</v>
      </c>
      <c r="S32" s="68">
        <v>200</v>
      </c>
      <c r="T32" t="s">
        <v>137</v>
      </c>
      <c r="U32" t="s">
        <v>138</v>
      </c>
      <c r="V32" s="1" t="s">
        <v>139</v>
      </c>
      <c r="W32" s="1" t="s">
        <v>140</v>
      </c>
      <c r="X32" s="1">
        <v>6.79</v>
      </c>
      <c r="Y32" s="1">
        <v>13.047000000000001</v>
      </c>
    </row>
    <row r="33" spans="2:25">
      <c r="B33" s="1">
        <v>250</v>
      </c>
      <c r="C33" t="s">
        <v>19</v>
      </c>
      <c r="D33" t="s">
        <v>20</v>
      </c>
      <c r="G33" t="str">
        <f t="shared" si="1"/>
        <v>0.327091411060212+0.208415595128208j</v>
      </c>
      <c r="H33" t="str">
        <f t="shared" si="0"/>
        <v>0.322758315164417+0.228063969353858j</v>
      </c>
      <c r="I33" t="str">
        <f t="shared" si="2"/>
        <v>4.35179569215902+2.27159101651107j</v>
      </c>
      <c r="K33" s="9" t="str">
        <f t="shared" si="3"/>
        <v>12.3099703413676-1.66028156980715j</v>
      </c>
      <c r="L33" s="28" t="str">
        <f t="shared" si="4"/>
        <v>0.886510181566933+1.72566268860254j</v>
      </c>
      <c r="M33" s="67" t="str">
        <f t="shared" si="5"/>
        <v>0.0797836436434602+0.0107606524987437j</v>
      </c>
      <c r="N33" s="59">
        <f t="shared" si="6"/>
        <v>1.6416855214202462</v>
      </c>
      <c r="O33" s="59">
        <f t="shared" si="7"/>
        <v>2.0344277555581063</v>
      </c>
      <c r="P33" s="63">
        <f t="shared" si="8"/>
        <v>6.7683045714629166</v>
      </c>
      <c r="Q33" s="63">
        <f t="shared" si="9"/>
        <v>12.686007674586779</v>
      </c>
      <c r="S33" s="68">
        <v>250</v>
      </c>
      <c r="T33" t="s">
        <v>141</v>
      </c>
      <c r="U33" t="s">
        <v>142</v>
      </c>
      <c r="V33" s="1" t="s">
        <v>143</v>
      </c>
      <c r="W33" s="1" t="s">
        <v>144</v>
      </c>
      <c r="X33" s="1">
        <v>6.7679999999999998</v>
      </c>
      <c r="Y33" s="1">
        <v>12.686</v>
      </c>
    </row>
    <row r="34" spans="2:25">
      <c r="B34" s="1">
        <v>275</v>
      </c>
      <c r="C34" t="s">
        <v>21</v>
      </c>
      <c r="D34" t="s">
        <v>22</v>
      </c>
      <c r="G34" t="str">
        <f t="shared" si="1"/>
        <v>0.343002136236065+0.213668116136075j</v>
      </c>
      <c r="H34" t="str">
        <f t="shared" si="0"/>
        <v>0.338605366368562+0.236102455074477j</v>
      </c>
      <c r="I34" t="str">
        <f t="shared" si="2"/>
        <v>4.38457735369333+2.54562734321432j</v>
      </c>
      <c r="K34" s="9" t="str">
        <f t="shared" si="3"/>
        <v>12.2399953891741-1.01671636797169j</v>
      </c>
      <c r="L34" s="28" t="str">
        <f t="shared" si="4"/>
        <v>0.883612555781011+1.89717255685786j</v>
      </c>
      <c r="M34" s="67" t="str">
        <f t="shared" si="5"/>
        <v>0.0811395298544493+0.00673986267719604j</v>
      </c>
      <c r="N34" s="59">
        <f t="shared" si="6"/>
        <v>1.6363195477426131</v>
      </c>
      <c r="O34" s="59">
        <f t="shared" si="7"/>
        <v>2.033295557725376</v>
      </c>
      <c r="P34" s="63">
        <f t="shared" si="8"/>
        <v>6.6552024761379478</v>
      </c>
      <c r="Q34" s="63">
        <f t="shared" si="9"/>
        <v>7.2234509147227284</v>
      </c>
      <c r="S34" s="68">
        <v>275</v>
      </c>
      <c r="T34" t="s">
        <v>145</v>
      </c>
      <c r="U34" t="s">
        <v>146</v>
      </c>
      <c r="V34" s="1" t="s">
        <v>147</v>
      </c>
      <c r="W34" s="1" t="s">
        <v>148</v>
      </c>
      <c r="X34" s="1">
        <v>6.6550000000000002</v>
      </c>
      <c r="Y34" s="1">
        <v>7.2229999999999999</v>
      </c>
    </row>
    <row r="35" spans="2:25">
      <c r="B35" s="1">
        <v>300</v>
      </c>
      <c r="C35" t="s">
        <v>23</v>
      </c>
      <c r="D35" t="s">
        <v>24</v>
      </c>
      <c r="G35" t="str">
        <f t="shared" si="1"/>
        <v>0.364078083476398+0.217448712115586j</v>
      </c>
      <c r="H35" t="str">
        <f t="shared" si="0"/>
        <v>0.360207952812427+0.243779667083626j</v>
      </c>
      <c r="I35" t="str">
        <f t="shared" si="2"/>
        <v>4.49985539107274+2.61348398513678j</v>
      </c>
      <c r="K35" s="9" t="str">
        <f t="shared" si="3"/>
        <v>11.9358193284556-0.822375171929309j</v>
      </c>
      <c r="L35" s="28" t="str">
        <f t="shared" si="4"/>
        <v>0.983769442545242+2.03837096515436j</v>
      </c>
      <c r="M35" s="67" t="str">
        <f t="shared" si="5"/>
        <v>0.0833855828349178+0.00574524723718017j</v>
      </c>
      <c r="N35" s="59">
        <f t="shared" si="6"/>
        <v>1.8217952639726704</v>
      </c>
      <c r="O35" s="59">
        <f t="shared" si="7"/>
        <v>2.0025729318476171</v>
      </c>
      <c r="P35" s="63">
        <f t="shared" si="8"/>
        <v>6.4759396245878911</v>
      </c>
      <c r="Q35" s="63">
        <f t="shared" si="9"/>
        <v>5.6443487474214749</v>
      </c>
      <c r="S35" s="68">
        <v>300</v>
      </c>
      <c r="T35" t="s">
        <v>149</v>
      </c>
      <c r="U35" t="s">
        <v>150</v>
      </c>
      <c r="V35" s="1" t="s">
        <v>151</v>
      </c>
      <c r="W35" s="1" t="s">
        <v>152</v>
      </c>
      <c r="X35" s="1">
        <v>6.476</v>
      </c>
      <c r="Y35" s="1">
        <v>5.6440000000000001</v>
      </c>
    </row>
    <row r="36" spans="2:25">
      <c r="B36" s="1">
        <v>500</v>
      </c>
      <c r="C36" t="s">
        <v>25</v>
      </c>
      <c r="D36" t="s">
        <v>26</v>
      </c>
      <c r="G36" t="str">
        <f t="shared" si="1"/>
        <v>0.450408485529419+0.262493751171261j</v>
      </c>
      <c r="H36" t="str">
        <f t="shared" si="0"/>
        <v>0.441899178130239+0.312310951042242j</v>
      </c>
      <c r="I36" t="str">
        <f t="shared" si="2"/>
        <v>5.1806194368355+3.44158651632031j</v>
      </c>
      <c r="K36" s="9" t="str">
        <f t="shared" si="3"/>
        <v>11.489095330839-0.331713160656277j</v>
      </c>
      <c r="L36" s="28" t="str">
        <f t="shared" si="4"/>
        <v>1.214466313337+3.13879843633208j</v>
      </c>
      <c r="M36" s="67" t="str">
        <f t="shared" si="5"/>
        <v>0.0869665603026388+0.00251089853105835j</v>
      </c>
      <c r="N36" s="59">
        <f t="shared" si="6"/>
        <v>2.2490116913648146</v>
      </c>
      <c r="O36" s="59">
        <f t="shared" si="7"/>
        <v>1.8502047648568973</v>
      </c>
      <c r="P36" s="63">
        <f t="shared" si="8"/>
        <v>6.2092831787393914</v>
      </c>
      <c r="Q36" s="63">
        <f t="shared" si="9"/>
        <v>1.4800811585930198</v>
      </c>
      <c r="S36" s="68">
        <v>500</v>
      </c>
      <c r="T36" t="s">
        <v>153</v>
      </c>
      <c r="U36" t="s">
        <v>154</v>
      </c>
      <c r="V36" s="1" t="s">
        <v>155</v>
      </c>
      <c r="W36" s="1" t="s">
        <v>156</v>
      </c>
      <c r="X36" s="1">
        <v>6.2089999999999996</v>
      </c>
      <c r="Y36" s="1">
        <v>1.48</v>
      </c>
    </row>
    <row r="37" spans="2:25">
      <c r="B37" s="1">
        <v>1000</v>
      </c>
      <c r="C37" t="s">
        <v>27</v>
      </c>
      <c r="D37" t="s">
        <v>28</v>
      </c>
      <c r="G37" t="str">
        <f t="shared" si="1"/>
        <v>0.60587729246116+0.346136345516654j</v>
      </c>
      <c r="H37" t="str">
        <f t="shared" si="0"/>
        <v>0.57080412824204+0.466480270475874j</v>
      </c>
      <c r="I37" t="str">
        <f t="shared" si="2"/>
        <v>6.61024885353371+5.07025540832448j</v>
      </c>
      <c r="K37" s="9" t="str">
        <f t="shared" si="3"/>
        <v>11.2957159174106-0.348584038207054j</v>
      </c>
      <c r="L37" s="28" t="str">
        <f t="shared" si="4"/>
        <v>1.40798322004729+5.97767339142238j</v>
      </c>
      <c r="M37" s="67" t="str">
        <f t="shared" si="5"/>
        <v>0.088444909854633+0.00272939617651559j</v>
      </c>
      <c r="N37" s="59">
        <f t="shared" si="6"/>
        <v>2.6073763334209072</v>
      </c>
      <c r="O37" s="59">
        <f t="shared" si="7"/>
        <v>1.7618079045069739</v>
      </c>
      <c r="P37" s="63">
        <f t="shared" si="8"/>
        <v>6.1054955100020747</v>
      </c>
      <c r="Q37" s="63">
        <f t="shared" si="9"/>
        <v>0.8044386910158805</v>
      </c>
      <c r="S37" s="68">
        <v>1000</v>
      </c>
      <c r="T37" t="s">
        <v>157</v>
      </c>
      <c r="U37" t="s">
        <v>158</v>
      </c>
      <c r="V37" s="1" t="s">
        <v>159</v>
      </c>
      <c r="W37" s="1" t="s">
        <v>160</v>
      </c>
      <c r="X37" s="1">
        <v>6.1050000000000004</v>
      </c>
      <c r="Y37" s="1">
        <v>0.80400000000000005</v>
      </c>
    </row>
    <row r="38" spans="2:25">
      <c r="B38" s="17">
        <v>3000</v>
      </c>
      <c r="C38" s="18" t="s">
        <v>29</v>
      </c>
      <c r="D38" s="18" t="s">
        <v>30</v>
      </c>
      <c r="E38" s="18"/>
      <c r="F38" s="18"/>
      <c r="G38" s="18" t="str">
        <f t="shared" si="1"/>
        <v>0.926437434527253+0.506134623448822j</v>
      </c>
      <c r="H38" s="18" t="str">
        <f t="shared" si="0"/>
        <v>0.67977378306896+0.841694695607005j</v>
      </c>
      <c r="I38" s="18" t="str">
        <f t="shared" si="2"/>
        <v>10.8936916618858+6.50483804750289j</v>
      </c>
      <c r="J38" s="18"/>
      <c r="K38" s="19" t="str">
        <f t="shared" si="3"/>
        <v>11.0037313887516-4.05567905523942j</v>
      </c>
      <c r="L38" s="29" t="str">
        <f t="shared" si="4"/>
        <v>1.93015831222109+13.5909808551895j</v>
      </c>
      <c r="M38" s="20" t="str">
        <f t="shared" si="5"/>
        <v>0.0800093100910927+0.0294892770185492j</v>
      </c>
      <c r="N38" s="69">
        <f t="shared" si="6"/>
        <v>3.5743672448538706</v>
      </c>
      <c r="O38" s="60">
        <f t="shared" si="7"/>
        <v>1.3352294966485951</v>
      </c>
      <c r="P38" s="60">
        <f t="shared" si="8"/>
        <v>6.749214552471404</v>
      </c>
      <c r="Q38" s="60">
        <f t="shared" si="9"/>
        <v>2.8971383985853918</v>
      </c>
      <c r="S38" s="68" t="s">
        <v>161</v>
      </c>
      <c r="T38" t="s">
        <v>162</v>
      </c>
      <c r="U38" t="s">
        <v>163</v>
      </c>
      <c r="V38" s="1" t="s">
        <v>164</v>
      </c>
      <c r="W38" s="1" t="s">
        <v>165</v>
      </c>
      <c r="X38" s="1" t="s">
        <v>166</v>
      </c>
      <c r="Y38" s="1" t="s">
        <v>167</v>
      </c>
    </row>
    <row r="39" spans="2:25" ht="15.75" thickBot="1">
      <c r="B39" s="17">
        <v>5000</v>
      </c>
      <c r="C39" s="18" t="s">
        <v>31</v>
      </c>
      <c r="D39" s="18" t="s">
        <v>32</v>
      </c>
      <c r="E39" s="18"/>
      <c r="F39" s="18"/>
      <c r="G39" s="18" t="str">
        <f t="shared" si="1"/>
        <v>1.11595752878333+0.184770795797548j</v>
      </c>
      <c r="H39" s="18" t="str">
        <f t="shared" si="0"/>
        <v>1.13795488865193+1.1091733874955j</v>
      </c>
      <c r="I39" s="18" t="str">
        <f t="shared" si="2"/>
        <v>11.9409662708492+10.9087109908348j</v>
      </c>
      <c r="J39" s="18"/>
      <c r="K39" s="21" t="str">
        <f t="shared" si="3"/>
        <v>10.1726050800657-0.32907442044491j</v>
      </c>
      <c r="L39" s="34" t="str">
        <f t="shared" si="4"/>
        <v>1.48862902022702+25.6582230095188j</v>
      </c>
      <c r="M39" s="22" t="str">
        <f t="shared" si="5"/>
        <v>0.0982004730420133+0.00317669500578979j</v>
      </c>
      <c r="N39" s="69">
        <f t="shared" si="6"/>
        <v>2.7567204078278147</v>
      </c>
      <c r="O39" s="60">
        <f t="shared" si="7"/>
        <v>1.5124566751552309</v>
      </c>
      <c r="P39" s="60">
        <f t="shared" si="8"/>
        <v>5.4989551808876795</v>
      </c>
      <c r="Q39" s="60">
        <f t="shared" si="9"/>
        <v>0.18725433809880823</v>
      </c>
      <c r="S39" s="68" t="s">
        <v>168</v>
      </c>
      <c r="T39" t="s">
        <v>169</v>
      </c>
      <c r="U39" t="s">
        <v>170</v>
      </c>
      <c r="V39" s="1" t="s">
        <v>171</v>
      </c>
      <c r="W39" s="1" t="s">
        <v>172</v>
      </c>
      <c r="X39" s="1" t="s">
        <v>173</v>
      </c>
      <c r="Y39" s="1" t="s">
        <v>174</v>
      </c>
    </row>
    <row r="40" spans="2:25" ht="15.75" thickTop="1">
      <c r="B40" s="62"/>
      <c r="C40" s="24"/>
      <c r="D40" s="24"/>
      <c r="E40" s="24"/>
      <c r="F40" s="24"/>
      <c r="G40" s="24"/>
      <c r="H40" s="24"/>
      <c r="I40" s="24"/>
      <c r="J40" s="24"/>
      <c r="K40" s="64"/>
      <c r="L40" s="64"/>
      <c r="M40" s="24"/>
    </row>
    <row r="41" spans="2:25">
      <c r="B41" s="62"/>
      <c r="C41" s="24"/>
      <c r="D41" s="24"/>
      <c r="E41" s="24"/>
      <c r="F41" s="24"/>
      <c r="G41" s="24"/>
      <c r="H41" s="24"/>
      <c r="I41" s="24"/>
      <c r="J41" s="24"/>
      <c r="K41" s="64"/>
      <c r="L41" s="64"/>
      <c r="M41" s="24"/>
    </row>
    <row r="44" spans="2:25" ht="15.75" thickBot="1">
      <c r="K44" s="141" t="s">
        <v>45</v>
      </c>
      <c r="L44" s="141"/>
    </row>
    <row r="45" spans="2:25" ht="27" thickTop="1">
      <c r="J45" s="37" t="s">
        <v>52</v>
      </c>
      <c r="K45" s="33" t="s">
        <v>36</v>
      </c>
      <c r="L45" s="33" t="s">
        <v>37</v>
      </c>
      <c r="M45" s="8" t="s">
        <v>178</v>
      </c>
      <c r="Q45" s="32" t="s">
        <v>51</v>
      </c>
      <c r="R45" s="1" t="s">
        <v>33</v>
      </c>
      <c r="S45" s="6" t="s">
        <v>42</v>
      </c>
    </row>
    <row r="46" spans="2:25">
      <c r="J46" s="35">
        <v>20</v>
      </c>
      <c r="K46" s="28" t="str">
        <f t="shared" ref="K46:K60" si="10">IMPRODUCT(K25,$C$20,0.001)</f>
        <v>24.5361960839385-6.70462741511732j</v>
      </c>
      <c r="L46" s="28" t="str">
        <f t="shared" ref="L46:L60" si="11">IMDIV(IMPRODUCT(L25,1000),$C$20)</f>
        <v>0.238507437985554+0.0925532017945472j</v>
      </c>
      <c r="M46" s="67" t="str">
        <f>IMDIV(1,K46)</f>
        <v>0.0379243745793482+0.0103630082118687j</v>
      </c>
      <c r="R46" s="1">
        <v>20</v>
      </c>
      <c r="S46">
        <f t="shared" ref="S46:S60" si="12">IMABS(K46)</f>
        <v>25.435741527327679</v>
      </c>
    </row>
    <row r="47" spans="2:25">
      <c r="J47" s="35">
        <v>50</v>
      </c>
      <c r="K47" s="28" t="str">
        <f t="shared" si="10"/>
        <v>23.2801787637359-3.73159821249277j</v>
      </c>
      <c r="L47" s="28" t="str">
        <f t="shared" si="11"/>
        <v>0.270135137059132+0.265892966604866j</v>
      </c>
      <c r="M47" s="10" t="str">
        <f t="shared" ref="M47:M60" si="13">IMDIV(1,K47)</f>
        <v>0.0418789938917621+0.00671281695615368j</v>
      </c>
      <c r="R47" s="1">
        <v>50</v>
      </c>
      <c r="S47">
        <f t="shared" si="12"/>
        <v>23.577352448716102</v>
      </c>
    </row>
    <row r="48" spans="2:25">
      <c r="C48" s="3" t="s">
        <v>39</v>
      </c>
      <c r="D48" s="3" t="s">
        <v>38</v>
      </c>
      <c r="J48" s="35">
        <v>75</v>
      </c>
      <c r="K48" s="28" t="str">
        <f t="shared" si="10"/>
        <v>23.0159794698307-2.86688997329687j</v>
      </c>
      <c r="L48" s="28" t="str">
        <f t="shared" si="11"/>
        <v>0.319055226117393+0.371563427917274j</v>
      </c>
      <c r="M48" s="10" t="str">
        <f t="shared" si="13"/>
        <v>0.0427842597680185+0.00532924377624861j</v>
      </c>
      <c r="R48" s="1">
        <v>75</v>
      </c>
      <c r="S48">
        <f t="shared" si="12"/>
        <v>23.193843344186369</v>
      </c>
    </row>
    <row r="49" spans="2:19">
      <c r="B49" s="1" t="s">
        <v>33</v>
      </c>
      <c r="C49" t="s">
        <v>34</v>
      </c>
      <c r="D49" t="s">
        <v>35</v>
      </c>
      <c r="J49" s="35">
        <v>100</v>
      </c>
      <c r="K49" s="28" t="str">
        <f t="shared" si="10"/>
        <v>22.6992760804817-2.74601497514925j</v>
      </c>
      <c r="L49" s="28" t="str">
        <f t="shared" si="11"/>
        <v>0.350261686496972+0.459980476880484j</v>
      </c>
      <c r="M49" s="10" t="str">
        <f t="shared" si="13"/>
        <v>0.0434188495002989+0.00525253803287996j</v>
      </c>
      <c r="R49" s="1">
        <v>100</v>
      </c>
      <c r="S49">
        <f t="shared" si="12"/>
        <v>22.864770561317087</v>
      </c>
    </row>
    <row r="50" spans="2:19">
      <c r="B50" s="1">
        <v>20</v>
      </c>
      <c r="C50" s="40">
        <f>IMARGUMENT(C25)/2/PI()*180</f>
        <v>-7.4644340466593082</v>
      </c>
      <c r="D50" s="40">
        <f>IMARGUMENT(D25)/2/PI()*180</f>
        <v>10.427229019789175</v>
      </c>
      <c r="J50" s="35">
        <v>125</v>
      </c>
      <c r="K50" s="28" t="str">
        <f t="shared" si="10"/>
        <v>22.5897305861757-2.00029626350363j</v>
      </c>
      <c r="L50" s="28" t="str">
        <f t="shared" si="11"/>
        <v>0.386535476013204+0.561050757999607j</v>
      </c>
      <c r="M50" s="10" t="str">
        <f t="shared" si="13"/>
        <v>0.043923502603602+0.0038893787512342j</v>
      </c>
      <c r="R50" s="1">
        <v>125</v>
      </c>
      <c r="S50">
        <f t="shared" si="12"/>
        <v>22.678119699344311</v>
      </c>
    </row>
    <row r="51" spans="2:19">
      <c r="B51" s="1">
        <v>50</v>
      </c>
      <c r="C51" s="40">
        <f t="shared" ref="C51:D51" si="14">IMARGUMENT(C26)/2/PI()*180</f>
        <v>-4.1705400365951064</v>
      </c>
      <c r="D51" s="40">
        <f t="shared" si="14"/>
        <v>21.890562382434354</v>
      </c>
      <c r="J51" s="35">
        <v>150</v>
      </c>
      <c r="K51" s="28" t="str">
        <f t="shared" si="10"/>
        <v>22.4176126090027-2.81233063848696j</v>
      </c>
      <c r="L51" s="28" t="str">
        <f t="shared" si="11"/>
        <v>0.3973708068225+0.660518064663171j</v>
      </c>
      <c r="M51" s="10" t="str">
        <f t="shared" si="13"/>
        <v>0.0439166162004716+0.00550942009006166j</v>
      </c>
      <c r="R51" s="1">
        <v>150</v>
      </c>
      <c r="S51">
        <f t="shared" si="12"/>
        <v>22.593329960576625</v>
      </c>
    </row>
    <row r="52" spans="2:19">
      <c r="B52" s="1">
        <v>75</v>
      </c>
      <c r="C52" s="40">
        <f t="shared" ref="C52:D52" si="15">IMARGUMENT(C27)/2/PI()*180</f>
        <v>-3.0316552237626442</v>
      </c>
      <c r="D52" s="40">
        <f t="shared" si="15"/>
        <v>24.155470757305721</v>
      </c>
      <c r="J52" s="35">
        <v>175</v>
      </c>
      <c r="K52" s="28" t="str">
        <f t="shared" si="10"/>
        <v>22.2426597564846-2.30379819370757j</v>
      </c>
      <c r="L52" s="28" t="str">
        <f t="shared" si="11"/>
        <v>0.445436921796408+0.73452532002528j</v>
      </c>
      <c r="M52" s="10" t="str">
        <f t="shared" si="13"/>
        <v>0.0444814585970856+0.00460719649049921j</v>
      </c>
      <c r="R52" s="1">
        <v>175</v>
      </c>
      <c r="S52">
        <f t="shared" si="12"/>
        <v>22.36165018866161</v>
      </c>
    </row>
    <row r="53" spans="2:19">
      <c r="B53" s="1">
        <v>100</v>
      </c>
      <c r="C53" s="40">
        <f t="shared" ref="C53:D53" si="16">IMARGUMENT(C28)/2/PI()*180</f>
        <v>-2.8073612944532251</v>
      </c>
      <c r="D53" s="40">
        <f t="shared" si="16"/>
        <v>25.714373874414928</v>
      </c>
      <c r="J53" s="35">
        <v>200</v>
      </c>
      <c r="K53" s="28" t="str">
        <f t="shared" si="10"/>
        <v>22.0055408335886-2.44997595304939j</v>
      </c>
      <c r="L53" s="28" t="str">
        <f t="shared" si="11"/>
        <v>0.467569063017163+0.824452945645836j</v>
      </c>
      <c r="M53" s="10" t="str">
        <f t="shared" si="13"/>
        <v>0.0448867128494905+0.00499743986863653j</v>
      </c>
      <c r="R53" s="1">
        <v>200</v>
      </c>
      <c r="S53">
        <f t="shared" si="12"/>
        <v>22.141504229596855</v>
      </c>
    </row>
    <row r="54" spans="2:19">
      <c r="B54" s="1">
        <v>125</v>
      </c>
      <c r="C54" s="40">
        <f t="shared" ref="C54:D54" si="17">IMARGUMENT(C29)/2/PI()*180</f>
        <v>-1.7634328298871511</v>
      </c>
      <c r="D54" s="40">
        <f t="shared" si="17"/>
        <v>26.950858016445999</v>
      </c>
      <c r="J54" s="35">
        <v>250</v>
      </c>
      <c r="K54" s="28" t="str">
        <f t="shared" si="10"/>
        <v>21.8090032711771-2.94144382016249j</v>
      </c>
      <c r="L54" s="28" t="str">
        <f t="shared" si="11"/>
        <v>0.500385730916548+0.974040686397465j</v>
      </c>
      <c r="M54" s="10" t="str">
        <f t="shared" si="13"/>
        <v>0.0450334329710166+0.00607379032715185j</v>
      </c>
      <c r="R54" s="1">
        <v>250</v>
      </c>
      <c r="S54">
        <f t="shared" si="12"/>
        <v>22.00646985387219</v>
      </c>
    </row>
    <row r="55" spans="2:19">
      <c r="B55" s="1">
        <v>150</v>
      </c>
      <c r="C55" s="40">
        <f t="shared" ref="C55:D55" si="18">IMARGUMENT(C30)/2/PI()*180</f>
        <v>-2.6593225167444365</v>
      </c>
      <c r="D55" s="40">
        <f t="shared" si="18"/>
        <v>28.568412227646139</v>
      </c>
      <c r="J55" s="35">
        <v>275</v>
      </c>
      <c r="K55" s="28" t="str">
        <f t="shared" si="10"/>
        <v>21.6850318952137-1.80126921349597j</v>
      </c>
      <c r="L55" s="28" t="str">
        <f t="shared" si="11"/>
        <v>0.498750182191943+1.07084847560373j</v>
      </c>
      <c r="M55" s="10" t="str">
        <f t="shared" si="13"/>
        <v>0.0457987553856179+0.00380427792272487j</v>
      </c>
      <c r="R55" s="1">
        <v>275</v>
      </c>
      <c r="S55">
        <f t="shared" si="12"/>
        <v>21.759714590865475</v>
      </c>
    </row>
    <row r="56" spans="2:19">
      <c r="B56" s="1">
        <v>175</v>
      </c>
      <c r="C56" s="40">
        <f t="shared" ref="C56:D56" si="19">IMARGUMENT(C31)/2/PI()*180</f>
        <v>-1.9411473282613751</v>
      </c>
      <c r="D56" s="40">
        <f t="shared" si="19"/>
        <v>28.367562629299577</v>
      </c>
      <c r="J56" s="35">
        <v>300</v>
      </c>
      <c r="K56" s="28" t="str">
        <f t="shared" si="10"/>
        <v>21.1461372822079-1.45696393389918j</v>
      </c>
      <c r="L56" s="28" t="str">
        <f t="shared" si="11"/>
        <v>0.555283178689808+1.15054713018073j</v>
      </c>
      <c r="M56" s="10" t="str">
        <f t="shared" si="13"/>
        <v>0.0470665274718026+0.00324287278121423j</v>
      </c>
      <c r="R56" s="1">
        <v>300</v>
      </c>
      <c r="S56">
        <f t="shared" si="12"/>
        <v>21.19627009317125</v>
      </c>
    </row>
    <row r="57" spans="2:19">
      <c r="B57" s="1">
        <v>200</v>
      </c>
      <c r="C57" s="40">
        <f t="shared" ref="C57:D57" si="20">IMARGUMENT(C32)/2/PI()*180</f>
        <v>-2.0267771159157038</v>
      </c>
      <c r="D57" s="40">
        <f t="shared" si="20"/>
        <v>29.071000554336074</v>
      </c>
      <c r="J57" s="35">
        <v>500</v>
      </c>
      <c r="K57" s="28" t="str">
        <f t="shared" si="10"/>
        <v>20.3546971036241-0.587680815244071j</v>
      </c>
      <c r="L57" s="28" t="str">
        <f t="shared" si="11"/>
        <v>0.685498741592036+1.77167728292488j</v>
      </c>
      <c r="M57" s="10" t="str">
        <f t="shared" si="13"/>
        <v>0.0490877902444579+0.0014172626810672j</v>
      </c>
      <c r="R57" s="1">
        <v>500</v>
      </c>
      <c r="S57">
        <f t="shared" si="12"/>
        <v>20.363179096616751</v>
      </c>
    </row>
    <row r="58" spans="2:19">
      <c r="B58" s="1">
        <v>250</v>
      </c>
      <c r="C58" s="40">
        <f t="shared" ref="C58:D58" si="21">IMARGUMENT(C33)/2/PI()*180</f>
        <v>-2.4701645597156872</v>
      </c>
      <c r="D58" s="40">
        <f t="shared" si="21"/>
        <v>30.034244079746106</v>
      </c>
      <c r="J58" s="35">
        <v>1000</v>
      </c>
      <c r="K58" s="28" t="str">
        <f t="shared" si="10"/>
        <v>20.0120957696578-0.617570166192065j</v>
      </c>
      <c r="L58" s="28" t="str">
        <f t="shared" si="11"/>
        <v>0.794728280995388+3.37406442852168j</v>
      </c>
      <c r="M58" s="10" t="str">
        <f t="shared" si="13"/>
        <v>0.0499222364093257+0.00154059245922318j</v>
      </c>
      <c r="R58" s="1">
        <v>1000</v>
      </c>
      <c r="S58">
        <f t="shared" si="12"/>
        <v>20.021622561723767</v>
      </c>
    </row>
    <row r="59" spans="2:19">
      <c r="B59" s="1">
        <v>275</v>
      </c>
      <c r="C59" s="40">
        <f t="shared" ref="C59:D59" si="22">IMARGUMENT(C34)/2/PI()*180</f>
        <v>-0.89067598684116689</v>
      </c>
      <c r="D59" s="40">
        <f t="shared" si="22"/>
        <v>31.029556909629182</v>
      </c>
      <c r="J59" s="35">
        <v>3000</v>
      </c>
      <c r="K59" s="29" t="str">
        <f t="shared" si="10"/>
        <v>19.4948003283148-7.18525839865952j</v>
      </c>
      <c r="L59" s="29" t="str">
        <f t="shared" si="11"/>
        <v>1.08946710136851+7.67135339277921j</v>
      </c>
      <c r="M59" s="20" t="str">
        <f t="shared" si="13"/>
        <v>0.0451608091396042+0.0166450580511614j</v>
      </c>
      <c r="R59" s="27">
        <v>3000</v>
      </c>
      <c r="S59" s="18">
        <f t="shared" si="12"/>
        <v>20.776794220869832</v>
      </c>
    </row>
    <row r="60" spans="2:19" ht="15.75" thickBot="1">
      <c r="B60" s="1">
        <v>300</v>
      </c>
      <c r="C60" s="40">
        <f t="shared" ref="C60:D60" si="23">IMARGUMENT(C35)/2/PI()*180</f>
        <v>-0.3502012561176801</v>
      </c>
      <c r="D60" s="40">
        <f t="shared" si="23"/>
        <v>30.497916156761455</v>
      </c>
      <c r="J60" s="36">
        <v>5000</v>
      </c>
      <c r="K60" s="34" t="str">
        <f t="shared" si="10"/>
        <v>18.0223324114767-0.583005881649138j</v>
      </c>
      <c r="L60" s="34" t="str">
        <f t="shared" si="11"/>
        <v>0.840248353417971+14.482640968595j</v>
      </c>
      <c r="M60" s="22" t="str">
        <f t="shared" si="13"/>
        <v>0.0554287096766621+0.00179306779033428j</v>
      </c>
      <c r="R60" s="27">
        <v>5000</v>
      </c>
      <c r="S60" s="18">
        <f t="shared" si="12"/>
        <v>18.031759797862243</v>
      </c>
    </row>
    <row r="61" spans="2:19" ht="15.75" thickTop="1">
      <c r="B61" s="1">
        <v>500</v>
      </c>
      <c r="C61" s="40">
        <f t="shared" ref="C61:D61" si="24">IMARGUMENT(C36)/2/PI()*180</f>
        <v>1.6818202864457461</v>
      </c>
      <c r="D61" s="40">
        <f t="shared" si="24"/>
        <v>31.915042932714751</v>
      </c>
    </row>
    <row r="62" spans="2:19" ht="15.75" thickBot="1">
      <c r="B62" s="1">
        <v>1000</v>
      </c>
      <c r="C62" s="40">
        <f t="shared" ref="C62:D62" si="25">IMARGUMENT(C37)/2/PI()*180</f>
        <v>3.875018211459647</v>
      </c>
      <c r="D62" s="40">
        <f t="shared" si="25"/>
        <v>33.614249548286956</v>
      </c>
      <c r="K62" s="141" t="s">
        <v>49</v>
      </c>
      <c r="L62" s="141"/>
    </row>
    <row r="63" spans="2:19" ht="27" thickTop="1">
      <c r="B63" s="62"/>
      <c r="C63" s="24"/>
      <c r="D63" s="24"/>
      <c r="J63" s="37" t="s">
        <v>52</v>
      </c>
      <c r="K63" s="33" t="s">
        <v>36</v>
      </c>
      <c r="L63" s="33" t="s">
        <v>37</v>
      </c>
      <c r="M63" s="8" t="s">
        <v>178</v>
      </c>
    </row>
    <row r="64" spans="2:19" ht="26.25">
      <c r="B64" s="62"/>
      <c r="C64" s="24"/>
      <c r="D64" s="24"/>
      <c r="J64" s="35">
        <v>20</v>
      </c>
      <c r="K64" s="28" t="str">
        <f>IMDIV(K46,3.3)</f>
        <v>7.43521093452682-2.03170527730828j</v>
      </c>
      <c r="L64" s="28" t="str">
        <f>IMPRODUCT(L46,3.3)</f>
        <v>0.787074545352328+0.305425565922006j</v>
      </c>
      <c r="M64" s="67" t="str">
        <f>IMDIV(1,K64)</f>
        <v>0.125150436111849+0.0341979270991668j</v>
      </c>
      <c r="Q64" s="6" t="s">
        <v>50</v>
      </c>
      <c r="R64" s="1" t="s">
        <v>33</v>
      </c>
      <c r="S64" s="6" t="s">
        <v>43</v>
      </c>
    </row>
    <row r="65" spans="10:19">
      <c r="J65" s="35">
        <v>50</v>
      </c>
      <c r="K65" s="28" t="str">
        <f t="shared" ref="K65:K78" si="26">IMDIV(K47,3.3)</f>
        <v>7.05459962537452-1.13078733711902j</v>
      </c>
      <c r="L65" s="28" t="str">
        <f t="shared" ref="L65:L78" si="27">IMPRODUCT(L47,3.3)</f>
        <v>0.891445952295136+0.877446789796058j</v>
      </c>
      <c r="M65" s="10" t="str">
        <f t="shared" ref="M65:M78" si="28">IMDIV(1,K65)</f>
        <v>0.138200679842815+0.0221522959553071j</v>
      </c>
      <c r="R65" s="1">
        <v>20</v>
      </c>
      <c r="S65">
        <f t="shared" ref="S65:S79" si="29">IMABS(L46)</f>
        <v>0.2558356760439307</v>
      </c>
    </row>
    <row r="66" spans="10:19">
      <c r="J66" s="35">
        <v>75</v>
      </c>
      <c r="K66" s="28" t="str">
        <f t="shared" si="26"/>
        <v>6.97453923328203-0.868754537362688j</v>
      </c>
      <c r="L66" s="28" t="str">
        <f t="shared" si="27"/>
        <v>1.0528822461874+1.226159312127j</v>
      </c>
      <c r="M66" s="10" t="str">
        <f t="shared" si="28"/>
        <v>0.141188057234461+0.0175865044616204j</v>
      </c>
      <c r="R66" s="1">
        <v>50</v>
      </c>
      <c r="S66">
        <f t="shared" si="29"/>
        <v>0.37904097662903469</v>
      </c>
    </row>
    <row r="67" spans="10:19">
      <c r="J67" s="35">
        <v>100</v>
      </c>
      <c r="K67" s="28" t="str">
        <f t="shared" si="26"/>
        <v>6.87856850923688-0.832125750045227j</v>
      </c>
      <c r="L67" s="28" t="str">
        <f t="shared" si="27"/>
        <v>1.15586356544001+1.5179355737056j</v>
      </c>
      <c r="M67" s="10" t="str">
        <f t="shared" si="28"/>
        <v>0.143282203350986+0.0173333755085039j</v>
      </c>
      <c r="R67" s="1">
        <v>75</v>
      </c>
      <c r="S67">
        <f t="shared" si="29"/>
        <v>0.48975056741003992</v>
      </c>
    </row>
    <row r="68" spans="10:19">
      <c r="J68" s="35">
        <v>125</v>
      </c>
      <c r="K68" s="28" t="str">
        <f t="shared" si="26"/>
        <v>6.84537290490173-0.606150382879888j</v>
      </c>
      <c r="L68" s="28" t="str">
        <f t="shared" si="27"/>
        <v>1.27556707084357+1.8514675013987j</v>
      </c>
      <c r="M68" s="10" t="str">
        <f t="shared" si="28"/>
        <v>0.144947558591887+0.0128349498790728j</v>
      </c>
      <c r="R68" s="1">
        <v>100</v>
      </c>
      <c r="S68">
        <f t="shared" si="29"/>
        <v>0.57815680238054845</v>
      </c>
    </row>
    <row r="69" spans="10:19">
      <c r="J69" s="35">
        <v>150</v>
      </c>
      <c r="K69" s="28" t="str">
        <f t="shared" si="26"/>
        <v>6.79321594212203-0.852221405602109j</v>
      </c>
      <c r="L69" s="28" t="str">
        <f t="shared" si="27"/>
        <v>1.31132366251425+2.17970961338846j</v>
      </c>
      <c r="M69" s="10" t="str">
        <f t="shared" si="28"/>
        <v>0.144924833461556+0.0181810862972035j</v>
      </c>
      <c r="R69" s="1">
        <v>125</v>
      </c>
      <c r="S69">
        <f t="shared" si="29"/>
        <v>0.68131316387450469</v>
      </c>
    </row>
    <row r="70" spans="10:19">
      <c r="J70" s="35">
        <v>175</v>
      </c>
      <c r="K70" s="28" t="str">
        <f t="shared" si="26"/>
        <v>6.74019992620745-0.69812066475987j</v>
      </c>
      <c r="L70" s="28" t="str">
        <f t="shared" si="27"/>
        <v>1.46994184192815+2.42393355608342j</v>
      </c>
      <c r="M70" s="10" t="str">
        <f t="shared" si="28"/>
        <v>0.146788813370383+0.0152037484186474j</v>
      </c>
      <c r="R70" s="1">
        <v>150</v>
      </c>
      <c r="S70">
        <f t="shared" si="29"/>
        <v>0.77083569705946131</v>
      </c>
    </row>
    <row r="71" spans="10:19">
      <c r="J71" s="35">
        <v>200</v>
      </c>
      <c r="K71" s="28" t="str">
        <f t="shared" si="26"/>
        <v>6.66834570714806-0.742416955469512j</v>
      </c>
      <c r="L71" s="28" t="str">
        <f t="shared" si="27"/>
        <v>1.54297790795664+2.72069472063126j</v>
      </c>
      <c r="M71" s="10" t="str">
        <f t="shared" si="28"/>
        <v>0.148126152403319+0.0164915515665006j</v>
      </c>
      <c r="R71" s="1">
        <v>175</v>
      </c>
      <c r="S71">
        <f t="shared" si="29"/>
        <v>0.85903521293233343</v>
      </c>
    </row>
    <row r="72" spans="10:19">
      <c r="J72" s="35">
        <v>250</v>
      </c>
      <c r="K72" s="28" t="str">
        <f t="shared" si="26"/>
        <v>6.60878887005367-0.891346612170452j</v>
      </c>
      <c r="L72" s="28" t="str">
        <f t="shared" si="27"/>
        <v>1.65127291202461+3.21433426511163j</v>
      </c>
      <c r="M72" s="10" t="str">
        <f t="shared" si="28"/>
        <v>0.148610328804355+0.0200435080796011j</v>
      </c>
      <c r="R72" s="1">
        <v>200</v>
      </c>
      <c r="S72">
        <f t="shared" si="29"/>
        <v>0.94780983761239979</v>
      </c>
    </row>
    <row r="73" spans="10:19">
      <c r="J73" s="35">
        <v>275</v>
      </c>
      <c r="K73" s="28" t="str">
        <f t="shared" si="26"/>
        <v>6.57122178642839-0.545839155604839j</v>
      </c>
      <c r="L73" s="28" t="str">
        <f t="shared" si="27"/>
        <v>1.64587560123341+3.53379996949231j</v>
      </c>
      <c r="M73" s="10" t="str">
        <f t="shared" si="28"/>
        <v>0.151135892772539+0.0125541171449921j</v>
      </c>
      <c r="R73" s="1">
        <v>250</v>
      </c>
      <c r="S73">
        <f t="shared" si="29"/>
        <v>1.0950530299773307</v>
      </c>
    </row>
    <row r="74" spans="10:19">
      <c r="J74" s="35">
        <v>300</v>
      </c>
      <c r="K74" s="28" t="str">
        <f t="shared" si="26"/>
        <v>6.40792038854785-0.441504222393691j</v>
      </c>
      <c r="L74" s="28" t="str">
        <f t="shared" si="27"/>
        <v>1.83243448967637+3.79680552959641j</v>
      </c>
      <c r="M74" s="10" t="str">
        <f t="shared" si="28"/>
        <v>0.155319540656949+0.0107014801780069j</v>
      </c>
      <c r="R74" s="1">
        <v>275</v>
      </c>
      <c r="S74">
        <f t="shared" si="29"/>
        <v>1.1812993701595411</v>
      </c>
    </row>
    <row r="75" spans="10:19">
      <c r="J75" s="35">
        <v>500</v>
      </c>
      <c r="K75" s="28" t="str">
        <f t="shared" si="26"/>
        <v>6.16809003140124-0.178085095528506j</v>
      </c>
      <c r="L75" s="28" t="str">
        <f t="shared" si="27"/>
        <v>2.26214584725372+5.8465350336521j</v>
      </c>
      <c r="M75" s="10" t="str">
        <f t="shared" si="28"/>
        <v>0.161989707806711+0.00467696684752174j</v>
      </c>
      <c r="R75" s="1">
        <v>300</v>
      </c>
      <c r="S75">
        <f t="shared" si="29"/>
        <v>1.2775359514718052</v>
      </c>
    </row>
    <row r="76" spans="10:19">
      <c r="J76" s="35">
        <v>1000</v>
      </c>
      <c r="K76" s="28" t="str">
        <f t="shared" si="26"/>
        <v>6.06427144535085-0.187142474603656j</v>
      </c>
      <c r="L76" s="28" t="str">
        <f t="shared" si="27"/>
        <v>2.62260332728478+11.1344126141215j</v>
      </c>
      <c r="M76" s="10" t="str">
        <f t="shared" si="28"/>
        <v>0.164743380150775+0.00508395511543648j</v>
      </c>
      <c r="R76" s="1">
        <v>500</v>
      </c>
      <c r="S76">
        <f t="shared" si="29"/>
        <v>1.8996707397747512</v>
      </c>
    </row>
    <row r="77" spans="10:19">
      <c r="J77" s="35">
        <v>3000</v>
      </c>
      <c r="K77" s="29" t="str">
        <f t="shared" si="26"/>
        <v>5.90751525100448-2.17735102989682j</v>
      </c>
      <c r="L77" s="29" t="str">
        <f t="shared" si="27"/>
        <v>3.59524143451608+25.3154661961714j</v>
      </c>
      <c r="M77" s="20" t="str">
        <f t="shared" si="28"/>
        <v>0.149030670160694+0.0549286915688326j</v>
      </c>
      <c r="R77" s="1">
        <v>1000</v>
      </c>
      <c r="S77">
        <f t="shared" si="29"/>
        <v>3.4663963720886302</v>
      </c>
    </row>
    <row r="78" spans="10:19" ht="15.75" thickBot="1">
      <c r="J78" s="36">
        <v>5000</v>
      </c>
      <c r="K78" s="34" t="str">
        <f t="shared" si="26"/>
        <v>5.46131285196264-0.176668448984587j</v>
      </c>
      <c r="L78" s="34" t="str">
        <f t="shared" si="27"/>
        <v>2.7728195662793+47.7927151963635j</v>
      </c>
      <c r="M78" s="22" t="str">
        <f t="shared" si="28"/>
        <v>0.182914741932985+0.00591712370810312j</v>
      </c>
      <c r="R78" s="30">
        <v>3000</v>
      </c>
      <c r="S78" s="18">
        <f t="shared" si="29"/>
        <v>7.7483289451254844</v>
      </c>
    </row>
    <row r="79" spans="10:19" ht="15.75" thickTop="1">
      <c r="R79" s="30">
        <v>5000</v>
      </c>
      <c r="S79" s="18">
        <f t="shared" si="29"/>
        <v>14.506995096181976</v>
      </c>
    </row>
    <row r="84" spans="10:12">
      <c r="J84" s="1" t="s">
        <v>33</v>
      </c>
      <c r="K84" s="1" t="s">
        <v>36</v>
      </c>
      <c r="L84" s="1" t="s">
        <v>37</v>
      </c>
    </row>
    <row r="85" spans="10:12">
      <c r="J85" s="1">
        <v>20</v>
      </c>
      <c r="K85">
        <f>IMARGUMENT(K46)/2/PI()*180</f>
        <v>-7.6416173052207705</v>
      </c>
      <c r="L85">
        <f>IMARGUMENT(L46)/2/PI()*180</f>
        <v>10.604412278350649</v>
      </c>
    </row>
    <row r="86" spans="10:12">
      <c r="J86" s="1">
        <v>50</v>
      </c>
      <c r="K86">
        <f t="shared" ref="K86:L86" si="30">IMARGUMENT(K47)/2/PI()*180</f>
        <v>-4.5532606340410755</v>
      </c>
      <c r="L86">
        <f t="shared" si="30"/>
        <v>22.273282979880289</v>
      </c>
    </row>
    <row r="87" spans="10:12">
      <c r="J87" s="1">
        <v>75</v>
      </c>
      <c r="K87">
        <f t="shared" ref="K87:L87" si="31">IMARGUMENT(K48)/2/PI()*180</f>
        <v>-3.5501203429548971</v>
      </c>
      <c r="L87">
        <f t="shared" si="31"/>
        <v>24.67393587649801</v>
      </c>
    </row>
    <row r="88" spans="10:12">
      <c r="J88" s="1">
        <v>100</v>
      </c>
      <c r="K88">
        <f t="shared" ref="K88:L88" si="32">IMARGUMENT(K49)/2/PI()*180</f>
        <v>-3.4488814562375083</v>
      </c>
      <c r="L88">
        <f t="shared" si="32"/>
        <v>26.355894036199242</v>
      </c>
    </row>
    <row r="89" spans="10:12">
      <c r="J89" s="1">
        <v>125</v>
      </c>
      <c r="K89">
        <f t="shared" ref="K89:L89" si="33">IMARGUMENT(K50)/2/PI()*180</f>
        <v>-2.5301406207486927</v>
      </c>
      <c r="L89">
        <f t="shared" si="33"/>
        <v>27.717565807307583</v>
      </c>
    </row>
    <row r="90" spans="10:12">
      <c r="J90" s="1">
        <v>150</v>
      </c>
      <c r="K90">
        <f t="shared" ref="K90:L90" si="34">IMARGUMENT(K51)/2/PI()*180</f>
        <v>-3.5752524443307001</v>
      </c>
      <c r="L90">
        <f t="shared" si="34"/>
        <v>29.484342155232362</v>
      </c>
    </row>
    <row r="91" spans="10:12">
      <c r="J91" s="1">
        <v>175</v>
      </c>
      <c r="K91">
        <f t="shared" ref="K91:L91" si="35">IMARGUMENT(K52)/2/PI()*180</f>
        <v>-2.9566811943282976</v>
      </c>
      <c r="L91">
        <f t="shared" si="35"/>
        <v>29.38309649536647</v>
      </c>
    </row>
    <row r="92" spans="10:12">
      <c r="J92" s="1">
        <v>200</v>
      </c>
      <c r="K92">
        <f t="shared" ref="K92:L92" si="36">IMARGUMENT(K53)/2/PI()*180</f>
        <v>-3.1764173802743438</v>
      </c>
      <c r="L92">
        <f t="shared" si="36"/>
        <v>30.220640818694715</v>
      </c>
    </row>
    <row r="93" spans="10:12">
      <c r="J93" s="1">
        <v>250</v>
      </c>
      <c r="K93">
        <f t="shared" ref="K93:L93" si="37">IMARGUMENT(K54)/2/PI()*180</f>
        <v>-3.840648240794446</v>
      </c>
      <c r="L93">
        <f t="shared" si="37"/>
        <v>31.404727760824827</v>
      </c>
    </row>
    <row r="94" spans="10:12">
      <c r="J94" s="1">
        <v>275</v>
      </c>
      <c r="K94">
        <f t="shared" ref="K94:L94" si="38">IMARGUMENT(K55)/2/PI()*180</f>
        <v>-2.3741891827202495</v>
      </c>
      <c r="L94">
        <f t="shared" si="38"/>
        <v>32.513070105508248</v>
      </c>
    </row>
    <row r="95" spans="10:12">
      <c r="J95" s="1">
        <v>300</v>
      </c>
      <c r="K95">
        <f t="shared" ref="K95:L95" si="39">IMARGUMENT(K56)/2/PI()*180</f>
        <v>-1.9707184198440937</v>
      </c>
      <c r="L95">
        <f t="shared" si="39"/>
        <v>32.118433320487931</v>
      </c>
    </row>
    <row r="96" spans="10:12">
      <c r="J96" s="1">
        <v>500</v>
      </c>
      <c r="K96">
        <f t="shared" ref="K96:L96" si="40">IMARGUMENT(K57)/2/PI()*180</f>
        <v>-0.82689216109238572</v>
      </c>
      <c r="L96">
        <f t="shared" si="40"/>
        <v>34.42375538025285</v>
      </c>
    </row>
    <row r="97" spans="10:12">
      <c r="J97" s="1">
        <v>1000</v>
      </c>
      <c r="K97">
        <f t="shared" ref="K97:L97" si="41">IMARGUMENT(K58)/2/PI()*180</f>
        <v>-0.8837889451928348</v>
      </c>
      <c r="L97">
        <f t="shared" si="41"/>
        <v>38.373056704939373</v>
      </c>
    </row>
  </sheetData>
  <mergeCells count="5">
    <mergeCell ref="G22:I22"/>
    <mergeCell ref="K22:L22"/>
    <mergeCell ref="K44:L44"/>
    <mergeCell ref="K62:L62"/>
    <mergeCell ref="S23:Y2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59"/>
  <sheetViews>
    <sheetView topLeftCell="A3" zoomScale="25" zoomScaleNormal="25" workbookViewId="0">
      <selection activeCell="V58" sqref="V58"/>
    </sheetView>
  </sheetViews>
  <sheetFormatPr defaultRowHeight="15"/>
  <cols>
    <col min="4" max="4" width="22.42578125" customWidth="1"/>
    <col min="5" max="5" width="22.85546875" customWidth="1"/>
    <col min="6" max="6" width="26.7109375" customWidth="1"/>
    <col min="7" max="7" width="29.42578125" customWidth="1"/>
    <col min="10" max="10" width="13.7109375" customWidth="1"/>
    <col min="11" max="11" width="14.28515625" customWidth="1"/>
    <col min="13" max="13" width="10.85546875" customWidth="1"/>
  </cols>
  <sheetData>
    <row r="4" spans="3:15" ht="15.75" thickBot="1"/>
    <row r="5" spans="3:15" ht="17.25" thickTop="1" thickBot="1">
      <c r="C5" s="144" t="s">
        <v>52</v>
      </c>
      <c r="D5" s="146" t="s">
        <v>233</v>
      </c>
      <c r="E5" s="147"/>
      <c r="F5" s="146" t="s">
        <v>234</v>
      </c>
      <c r="G5" s="147"/>
      <c r="I5" s="144" t="s">
        <v>52</v>
      </c>
      <c r="J5" s="146" t="s">
        <v>235</v>
      </c>
      <c r="K5" s="147"/>
      <c r="M5" s="103"/>
      <c r="N5" s="146"/>
      <c r="O5" s="147"/>
    </row>
    <row r="6" spans="3:15" ht="17.25" thickTop="1" thickBot="1">
      <c r="C6" s="145"/>
      <c r="D6" s="88" t="s">
        <v>231</v>
      </c>
      <c r="E6" s="89" t="s">
        <v>232</v>
      </c>
      <c r="F6" s="90" t="s">
        <v>229</v>
      </c>
      <c r="G6" s="91" t="s">
        <v>230</v>
      </c>
      <c r="I6" s="145"/>
      <c r="J6" s="88" t="s">
        <v>105</v>
      </c>
      <c r="K6" s="91" t="s">
        <v>106</v>
      </c>
      <c r="M6" s="103" t="s">
        <v>52</v>
      </c>
      <c r="N6" s="88" t="s">
        <v>105</v>
      </c>
      <c r="O6" s="91" t="s">
        <v>106</v>
      </c>
    </row>
    <row r="7" spans="3:15" ht="15.75" thickTop="1">
      <c r="C7" s="35">
        <v>20</v>
      </c>
      <c r="D7" s="95" t="s">
        <v>3</v>
      </c>
      <c r="E7" s="96" t="s">
        <v>4</v>
      </c>
      <c r="F7" s="121" t="s">
        <v>185</v>
      </c>
      <c r="G7" s="83" t="s">
        <v>186</v>
      </c>
      <c r="I7" s="35">
        <v>20</v>
      </c>
      <c r="J7" s="97">
        <v>0.78250474284052596</v>
      </c>
      <c r="K7" s="98">
        <v>2.4163878011734661</v>
      </c>
      <c r="M7" s="35">
        <v>20</v>
      </c>
      <c r="N7" s="97">
        <v>0.78250474284052596</v>
      </c>
      <c r="O7" s="98">
        <v>2.4163878011734661</v>
      </c>
    </row>
    <row r="8" spans="3:15">
      <c r="C8" s="35">
        <v>50</v>
      </c>
      <c r="D8" s="82" t="s">
        <v>5</v>
      </c>
      <c r="E8" s="83" t="s">
        <v>6</v>
      </c>
      <c r="F8" s="92" t="s">
        <v>187</v>
      </c>
      <c r="G8" s="83" t="s">
        <v>188</v>
      </c>
      <c r="I8" s="35">
        <v>50</v>
      </c>
      <c r="J8" s="99">
        <v>0.88627016306908335</v>
      </c>
      <c r="K8" s="100">
        <v>2.776783551359217</v>
      </c>
      <c r="M8" s="35">
        <v>50</v>
      </c>
      <c r="N8" s="99">
        <v>0.88627016306908335</v>
      </c>
      <c r="O8" s="100">
        <v>2.776783551359217</v>
      </c>
    </row>
    <row r="9" spans="3:15">
      <c r="C9" s="35">
        <v>75</v>
      </c>
      <c r="D9" s="82" t="s">
        <v>7</v>
      </c>
      <c r="E9" s="83" t="s">
        <v>8</v>
      </c>
      <c r="F9" s="92" t="s">
        <v>189</v>
      </c>
      <c r="G9" s="83" t="s">
        <v>190</v>
      </c>
      <c r="I9" s="35">
        <v>75</v>
      </c>
      <c r="J9" s="99">
        <v>1.0467691480549888</v>
      </c>
      <c r="K9" s="100">
        <v>2.5868835571986137</v>
      </c>
      <c r="M9" s="35">
        <v>75</v>
      </c>
      <c r="N9" s="99">
        <v>1.0467691480549888</v>
      </c>
      <c r="O9" s="100">
        <v>2.5868835571986137</v>
      </c>
    </row>
    <row r="10" spans="3:15">
      <c r="C10" s="35">
        <v>100</v>
      </c>
      <c r="D10" s="82" t="s">
        <v>9</v>
      </c>
      <c r="E10" s="83" t="s">
        <v>10</v>
      </c>
      <c r="F10" s="92" t="s">
        <v>191</v>
      </c>
      <c r="G10" s="83" t="s">
        <v>192</v>
      </c>
      <c r="I10" s="35">
        <v>100</v>
      </c>
      <c r="J10" s="99">
        <v>1.149152551526726</v>
      </c>
      <c r="K10" s="100">
        <v>2.4018428137781367</v>
      </c>
      <c r="M10" s="35">
        <v>100</v>
      </c>
      <c r="N10" s="99">
        <v>1.149152551526726</v>
      </c>
      <c r="O10" s="100">
        <v>2.4018428137781367</v>
      </c>
    </row>
    <row r="11" spans="3:15">
      <c r="C11" s="35">
        <v>125</v>
      </c>
      <c r="D11" s="82" t="s">
        <v>11</v>
      </c>
      <c r="E11" s="83" t="s">
        <v>12</v>
      </c>
      <c r="F11" s="92" t="s">
        <v>193</v>
      </c>
      <c r="G11" s="83" t="s">
        <v>194</v>
      </c>
      <c r="I11" s="35">
        <v>125</v>
      </c>
      <c r="J11" s="99">
        <v>1.2681610511231591</v>
      </c>
      <c r="K11" s="100">
        <v>2.3436746540288791</v>
      </c>
      <c r="M11" s="35">
        <v>125</v>
      </c>
      <c r="N11" s="99">
        <v>1.2681610511231591</v>
      </c>
      <c r="O11" s="100">
        <v>2.3436746540288791</v>
      </c>
    </row>
    <row r="12" spans="3:15">
      <c r="C12" s="35">
        <v>150</v>
      </c>
      <c r="D12" s="82" t="s">
        <v>13</v>
      </c>
      <c r="E12" s="83" t="s">
        <v>14</v>
      </c>
      <c r="F12" s="92" t="s">
        <v>195</v>
      </c>
      <c r="G12" s="83" t="s">
        <v>196</v>
      </c>
      <c r="I12" s="35">
        <v>150</v>
      </c>
      <c r="J12" s="99">
        <v>1.3037100378555315</v>
      </c>
      <c r="K12" s="100">
        <v>2.2993157995762634</v>
      </c>
      <c r="M12" s="35">
        <v>150</v>
      </c>
      <c r="N12" s="99">
        <v>1.3037100378555315</v>
      </c>
      <c r="O12" s="100">
        <v>2.2993157995762634</v>
      </c>
    </row>
    <row r="13" spans="3:15">
      <c r="C13" s="35">
        <v>175</v>
      </c>
      <c r="D13" s="82" t="s">
        <v>15</v>
      </c>
      <c r="E13" s="83" t="s">
        <v>16</v>
      </c>
      <c r="F13" s="92" t="s">
        <v>197</v>
      </c>
      <c r="G13" s="83" t="s">
        <v>198</v>
      </c>
      <c r="I13" s="35">
        <v>175</v>
      </c>
      <c r="J13" s="99">
        <v>1.461407270506526</v>
      </c>
      <c r="K13" s="100">
        <v>2.1916636529637503</v>
      </c>
      <c r="M13" s="35">
        <v>175</v>
      </c>
      <c r="N13" s="99">
        <v>1.461407270506526</v>
      </c>
      <c r="O13" s="100">
        <v>2.1916636529637503</v>
      </c>
    </row>
    <row r="14" spans="3:15">
      <c r="C14" s="35">
        <v>200</v>
      </c>
      <c r="D14" s="82" t="s">
        <v>17</v>
      </c>
      <c r="E14" s="83" t="s">
        <v>18</v>
      </c>
      <c r="F14" s="92" t="s">
        <v>199</v>
      </c>
      <c r="G14" s="83" t="s">
        <v>200</v>
      </c>
      <c r="I14" s="35">
        <v>200</v>
      </c>
      <c r="J14" s="99">
        <v>1.5340192847092298</v>
      </c>
      <c r="K14" s="100">
        <v>2.1524895971967344</v>
      </c>
      <c r="M14" s="35">
        <v>200</v>
      </c>
      <c r="N14" s="99">
        <v>1.5340192847092298</v>
      </c>
      <c r="O14" s="100">
        <v>2.1524895971967344</v>
      </c>
    </row>
    <row r="15" spans="3:15">
      <c r="C15" s="35">
        <v>250</v>
      </c>
      <c r="D15" s="82" t="s">
        <v>19</v>
      </c>
      <c r="E15" s="83" t="s">
        <v>20</v>
      </c>
      <c r="F15" s="92" t="s">
        <v>201</v>
      </c>
      <c r="G15" s="83" t="s">
        <v>202</v>
      </c>
      <c r="I15" s="35">
        <v>250</v>
      </c>
      <c r="J15" s="99">
        <v>1.6416855214202462</v>
      </c>
      <c r="K15" s="100">
        <v>2.0344277555581063</v>
      </c>
      <c r="M15" s="35">
        <v>250</v>
      </c>
      <c r="N15" s="99">
        <v>1.6416855214202462</v>
      </c>
      <c r="O15" s="100">
        <v>2.0344277555581063</v>
      </c>
    </row>
    <row r="16" spans="3:15">
      <c r="C16" s="35">
        <v>275</v>
      </c>
      <c r="D16" s="82" t="s">
        <v>21</v>
      </c>
      <c r="E16" s="83" t="s">
        <v>22</v>
      </c>
      <c r="F16" s="92" t="s">
        <v>203</v>
      </c>
      <c r="G16" s="83" t="s">
        <v>204</v>
      </c>
      <c r="I16" s="35">
        <v>275</v>
      </c>
      <c r="J16" s="99">
        <v>1.6363195477426131</v>
      </c>
      <c r="K16" s="100">
        <v>2.033295557725376</v>
      </c>
      <c r="M16" s="35">
        <v>275</v>
      </c>
      <c r="N16" s="99">
        <v>1.6363195477426131</v>
      </c>
      <c r="O16" s="100">
        <v>2.033295557725376</v>
      </c>
    </row>
    <row r="17" spans="3:15">
      <c r="C17" s="35">
        <v>300</v>
      </c>
      <c r="D17" s="82" t="s">
        <v>23</v>
      </c>
      <c r="E17" s="83" t="s">
        <v>24</v>
      </c>
      <c r="F17" s="92" t="s">
        <v>205</v>
      </c>
      <c r="G17" s="83" t="s">
        <v>206</v>
      </c>
      <c r="I17" s="35">
        <v>300</v>
      </c>
      <c r="J17" s="99">
        <v>1.8217952639726704</v>
      </c>
      <c r="K17" s="100">
        <v>2.0025729318476171</v>
      </c>
      <c r="M17" s="35">
        <v>300</v>
      </c>
      <c r="N17" s="99">
        <v>1.8217952639726704</v>
      </c>
      <c r="O17" s="100">
        <v>2.0025729318476171</v>
      </c>
    </row>
    <row r="18" spans="3:15">
      <c r="C18" s="35">
        <v>500</v>
      </c>
      <c r="D18" s="82" t="s">
        <v>25</v>
      </c>
      <c r="E18" s="83" t="s">
        <v>26</v>
      </c>
      <c r="F18" s="92" t="s">
        <v>207</v>
      </c>
      <c r="G18" s="83" t="s">
        <v>208</v>
      </c>
      <c r="I18" s="35">
        <v>500</v>
      </c>
      <c r="J18" s="99">
        <v>2.2490116913648146</v>
      </c>
      <c r="K18" s="100">
        <v>1.8502047648568973</v>
      </c>
      <c r="M18" s="35">
        <v>500</v>
      </c>
      <c r="N18" s="99">
        <v>2.2490116913648146</v>
      </c>
      <c r="O18" s="100">
        <v>1.8502047648568973</v>
      </c>
    </row>
    <row r="19" spans="3:15">
      <c r="C19" s="35">
        <v>1000</v>
      </c>
      <c r="D19" s="82" t="s">
        <v>27</v>
      </c>
      <c r="E19" s="83" t="s">
        <v>28</v>
      </c>
      <c r="F19" s="92" t="s">
        <v>209</v>
      </c>
      <c r="G19" s="83" t="s">
        <v>210</v>
      </c>
      <c r="I19" s="35">
        <v>1000</v>
      </c>
      <c r="J19" s="99">
        <v>2.6073763334209072</v>
      </c>
      <c r="K19" s="100">
        <v>1.7618079045069739</v>
      </c>
      <c r="M19" s="35">
        <v>1000</v>
      </c>
      <c r="N19" s="99">
        <v>2.6073763334209072</v>
      </c>
      <c r="O19" s="100">
        <v>1.7618079045069739</v>
      </c>
    </row>
    <row r="20" spans="3:15" ht="15.75" thickBot="1">
      <c r="C20" s="80">
        <v>3000</v>
      </c>
      <c r="D20" s="84" t="s">
        <v>29</v>
      </c>
      <c r="E20" s="85" t="s">
        <v>30</v>
      </c>
      <c r="F20" s="93" t="s">
        <v>211</v>
      </c>
      <c r="G20" s="85" t="s">
        <v>212</v>
      </c>
      <c r="I20" s="104">
        <v>3000</v>
      </c>
      <c r="J20" s="105">
        <v>3.5743672448538706</v>
      </c>
      <c r="K20" s="106">
        <v>1.3352294966485951</v>
      </c>
      <c r="M20" s="81">
        <v>5000</v>
      </c>
      <c r="N20" s="101">
        <v>2.7567204078278147</v>
      </c>
      <c r="O20" s="102">
        <v>1.5124566751552309</v>
      </c>
    </row>
    <row r="21" spans="3:15" ht="16.5" thickTop="1" thickBot="1">
      <c r="C21" s="81">
        <v>5000</v>
      </c>
      <c r="D21" s="86" t="s">
        <v>31</v>
      </c>
      <c r="E21" s="87" t="s">
        <v>32</v>
      </c>
      <c r="F21" s="94" t="s">
        <v>213</v>
      </c>
      <c r="G21" s="87" t="s">
        <v>214</v>
      </c>
      <c r="I21" s="81">
        <v>5000</v>
      </c>
      <c r="J21" s="101">
        <v>2.7567204078278147</v>
      </c>
      <c r="K21" s="102">
        <v>1.5124566751552309</v>
      </c>
    </row>
    <row r="22" spans="3:15" ht="15.75" thickTop="1"/>
    <row r="23" spans="3:15" ht="15.75" thickBot="1"/>
    <row r="24" spans="3:15" ht="15.75" customHeight="1" thickTop="1" thickBot="1">
      <c r="D24" s="107" t="s">
        <v>236</v>
      </c>
      <c r="I24" s="144" t="s">
        <v>52</v>
      </c>
      <c r="J24" s="146" t="s">
        <v>237</v>
      </c>
      <c r="K24" s="147"/>
      <c r="N24" s="146" t="s">
        <v>237</v>
      </c>
      <c r="O24" s="147"/>
    </row>
    <row r="25" spans="3:15" ht="17.25" thickTop="1" thickBot="1">
      <c r="D25">
        <f>IMABS(D13)</f>
        <v>12.849486371057793</v>
      </c>
      <c r="I25" s="145"/>
      <c r="J25" s="88" t="s">
        <v>238</v>
      </c>
      <c r="K25" s="91" t="s">
        <v>108</v>
      </c>
      <c r="M25" s="108" t="s">
        <v>52</v>
      </c>
      <c r="N25" s="88" t="s">
        <v>238</v>
      </c>
      <c r="O25" s="91" t="s">
        <v>108</v>
      </c>
    </row>
    <row r="26" spans="3:15" ht="15.75" thickTop="1">
      <c r="D26">
        <f>IMARGUMENT(D13)*180/PI()</f>
        <v>-3.8822946565227499</v>
      </c>
      <c r="E26" t="s">
        <v>274</v>
      </c>
      <c r="I26" s="35">
        <v>20</v>
      </c>
      <c r="J26" s="97">
        <v>8.0370472453982114</v>
      </c>
      <c r="K26" s="98">
        <v>270.55840469146642</v>
      </c>
      <c r="M26" s="35">
        <v>20</v>
      </c>
      <c r="N26" s="97">
        <v>8.0370472453982114</v>
      </c>
      <c r="O26" s="98">
        <v>270.55840469146642</v>
      </c>
    </row>
    <row r="27" spans="3:15">
      <c r="I27" s="35">
        <v>50</v>
      </c>
      <c r="J27" s="99">
        <v>7.2781115762753883</v>
      </c>
      <c r="K27" s="100">
        <v>70.103545592588205</v>
      </c>
      <c r="M27" s="35">
        <v>50</v>
      </c>
      <c r="N27" s="99">
        <v>7.2781115762753883</v>
      </c>
      <c r="O27" s="100">
        <v>70.103545592588205</v>
      </c>
    </row>
    <row r="28" spans="3:15">
      <c r="I28" s="35">
        <v>75</v>
      </c>
      <c r="J28" s="99">
        <v>7.1241150810850291</v>
      </c>
      <c r="K28" s="100">
        <v>37.103040991832991</v>
      </c>
      <c r="M28" s="35">
        <v>75</v>
      </c>
      <c r="N28" s="99">
        <v>7.1241150810850291</v>
      </c>
      <c r="O28" s="100">
        <v>37.103040991832991</v>
      </c>
    </row>
    <row r="29" spans="3:15">
      <c r="I29" s="35">
        <v>100</v>
      </c>
      <c r="J29" s="99">
        <v>7.0199923248611515</v>
      </c>
      <c r="K29" s="100">
        <v>27.426752574211999</v>
      </c>
      <c r="M29" s="35">
        <v>100</v>
      </c>
      <c r="N29" s="99">
        <v>7.0199923248611515</v>
      </c>
      <c r="O29" s="100">
        <v>27.426752574211999</v>
      </c>
    </row>
    <row r="30" spans="3:15">
      <c r="I30" s="35">
        <v>125</v>
      </c>
      <c r="J30" s="99">
        <v>6.9393370787648676</v>
      </c>
      <c r="K30" s="100">
        <v>16.247083297216509</v>
      </c>
      <c r="M30" s="35">
        <v>125</v>
      </c>
      <c r="N30" s="99">
        <v>6.9393370787648676</v>
      </c>
      <c r="O30" s="100">
        <v>16.247083297216509</v>
      </c>
    </row>
    <row r="31" spans="3:15">
      <c r="I31" s="35">
        <v>150</v>
      </c>
      <c r="J31" s="99">
        <v>6.9404252107002478</v>
      </c>
      <c r="K31" s="100">
        <v>19.178728542483707</v>
      </c>
      <c r="M31" s="35">
        <v>150</v>
      </c>
      <c r="N31" s="99">
        <v>6.9404252107002478</v>
      </c>
      <c r="O31" s="100">
        <v>19.178728542483707</v>
      </c>
    </row>
    <row r="32" spans="3:15">
      <c r="I32" s="35">
        <v>175</v>
      </c>
      <c r="J32" s="99">
        <v>6.8522930645617466</v>
      </c>
      <c r="K32" s="100">
        <v>13.746871367132369</v>
      </c>
      <c r="M32" s="35">
        <v>175</v>
      </c>
      <c r="N32" s="99">
        <v>6.8522930645617466</v>
      </c>
      <c r="O32" s="100">
        <v>13.746871367132369</v>
      </c>
    </row>
    <row r="33" spans="3:15">
      <c r="I33" s="35">
        <v>200</v>
      </c>
      <c r="J33" s="99">
        <v>6.7904279662541542</v>
      </c>
      <c r="K33" s="100">
        <v>13.047363572010624</v>
      </c>
      <c r="M33" s="35">
        <v>200</v>
      </c>
      <c r="N33" s="99">
        <v>6.7904279662541542</v>
      </c>
      <c r="O33" s="100">
        <v>13.047363572010624</v>
      </c>
    </row>
    <row r="34" spans="3:15">
      <c r="I34" s="35">
        <v>250</v>
      </c>
      <c r="J34" s="99">
        <v>6.7683045714629166</v>
      </c>
      <c r="K34" s="100">
        <v>12.686007674586779</v>
      </c>
      <c r="M34" s="35">
        <v>250</v>
      </c>
      <c r="N34" s="99">
        <v>6.7683045714629166</v>
      </c>
      <c r="O34" s="100">
        <v>12.686007674586779</v>
      </c>
    </row>
    <row r="35" spans="3:15">
      <c r="I35" s="35">
        <v>275</v>
      </c>
      <c r="J35" s="99">
        <v>6.6552024761379478</v>
      </c>
      <c r="K35" s="100">
        <v>7.2234509147227284</v>
      </c>
      <c r="M35" s="35">
        <v>275</v>
      </c>
      <c r="N35" s="99">
        <v>6.6552024761379478</v>
      </c>
      <c r="O35" s="100">
        <v>7.2234509147227284</v>
      </c>
    </row>
    <row r="36" spans="3:15">
      <c r="I36" s="35">
        <v>300</v>
      </c>
      <c r="J36" s="99">
        <v>6.4759396245878911</v>
      </c>
      <c r="K36" s="100">
        <v>5.6443487474214749</v>
      </c>
      <c r="M36" s="35">
        <v>300</v>
      </c>
      <c r="N36" s="99">
        <v>6.4759396245878911</v>
      </c>
      <c r="O36" s="100">
        <v>5.6443487474214749</v>
      </c>
    </row>
    <row r="37" spans="3:15">
      <c r="I37" s="35">
        <v>500</v>
      </c>
      <c r="J37" s="99">
        <v>6.2092831787393914</v>
      </c>
      <c r="K37" s="100">
        <v>1.4800811585930198</v>
      </c>
      <c r="M37" s="35">
        <v>500</v>
      </c>
      <c r="N37" s="99">
        <v>6.2092831787393914</v>
      </c>
      <c r="O37" s="100">
        <v>1.4800811585930198</v>
      </c>
    </row>
    <row r="38" spans="3:15">
      <c r="I38" s="35">
        <v>1000</v>
      </c>
      <c r="J38" s="99">
        <v>6.1054955100020747</v>
      </c>
      <c r="K38" s="100">
        <v>0.8044386910158805</v>
      </c>
      <c r="M38" s="35">
        <v>1000</v>
      </c>
      <c r="N38" s="99">
        <v>6.1054955100020747</v>
      </c>
      <c r="O38" s="100">
        <v>0.8044386910158805</v>
      </c>
    </row>
    <row r="39" spans="3:15" ht="15.75" thickBot="1">
      <c r="I39" s="81">
        <v>5000</v>
      </c>
      <c r="J39" s="101">
        <v>5.4989551808876795</v>
      </c>
      <c r="K39" s="102">
        <v>0.18725433809880823</v>
      </c>
      <c r="M39" s="81">
        <v>5000</v>
      </c>
      <c r="N39" s="101">
        <v>5.4989551808876795</v>
      </c>
      <c r="O39" s="102">
        <v>0.18725433809880823</v>
      </c>
    </row>
    <row r="40" spans="3:15" ht="15.75" thickTop="1"/>
    <row r="41" spans="3:15" ht="15.75" thickBot="1"/>
    <row r="42" spans="3:15" ht="15.75" thickTop="1">
      <c r="C42" s="144" t="s">
        <v>52</v>
      </c>
      <c r="D42" s="146" t="s">
        <v>233</v>
      </c>
      <c r="E42" s="147"/>
      <c r="F42" s="146" t="s">
        <v>234</v>
      </c>
      <c r="G42" s="147"/>
    </row>
    <row r="43" spans="3:15" ht="16.5" thickBot="1">
      <c r="C43" s="145"/>
      <c r="D43" s="88" t="s">
        <v>231</v>
      </c>
      <c r="E43" s="89" t="s">
        <v>232</v>
      </c>
      <c r="F43" s="90" t="s">
        <v>229</v>
      </c>
      <c r="G43" s="91" t="s">
        <v>230</v>
      </c>
    </row>
    <row r="44" spans="3:15" ht="15.75" thickTop="1">
      <c r="C44" s="35">
        <v>20</v>
      </c>
      <c r="D44" s="95" t="s">
        <v>3</v>
      </c>
      <c r="E44" s="96" t="s">
        <v>4</v>
      </c>
      <c r="F44" s="121" t="str">
        <f>COMPLEX(ROUND(IMREAL(F7),3),ROUND(IMAGINARY(F7),3),"j")</f>
        <v>13.849-3.784j</v>
      </c>
      <c r="G44" s="83" t="str">
        <f t="shared" ref="G44:G58" si="0">COMPLEX(ROUND(IMREAL(G7),3),ROUND(IMAGINARY(G7),3),"j")</f>
        <v>0.423+0.164j</v>
      </c>
    </row>
    <row r="45" spans="3:15">
      <c r="C45" s="35">
        <v>50</v>
      </c>
      <c r="D45" s="82" t="s">
        <v>5</v>
      </c>
      <c r="E45" s="83" t="s">
        <v>6</v>
      </c>
      <c r="F45" s="92" t="str">
        <f t="shared" ref="F45:F58" si="1">COMPLEX(ROUND(IMREAL(F8),3),ROUND(IMAGINARY(F8),3),"j")</f>
        <v>13.14-2.106j</v>
      </c>
      <c r="G45" s="83" t="str">
        <f t="shared" si="0"/>
        <v>0.479+0.471j</v>
      </c>
    </row>
    <row r="46" spans="3:15">
      <c r="C46" s="35">
        <v>75</v>
      </c>
      <c r="D46" s="82" t="s">
        <v>7</v>
      </c>
      <c r="E46" s="83" t="s">
        <v>8</v>
      </c>
      <c r="F46" s="92" t="str">
        <f t="shared" si="1"/>
        <v>12.991-1.618j</v>
      </c>
      <c r="G46" s="83" t="str">
        <f t="shared" si="0"/>
        <v>0.565+0.658j</v>
      </c>
    </row>
    <row r="47" spans="3:15">
      <c r="C47" s="35">
        <v>100</v>
      </c>
      <c r="D47" s="82" t="s">
        <v>9</v>
      </c>
      <c r="E47" s="83" t="s">
        <v>10</v>
      </c>
      <c r="F47" s="92" t="str">
        <f t="shared" si="1"/>
        <v>12.812-1.55j</v>
      </c>
      <c r="G47" s="83" t="str">
        <f t="shared" si="0"/>
        <v>0.621+0.815j</v>
      </c>
    </row>
    <row r="48" spans="3:15">
      <c r="C48" s="35">
        <v>125</v>
      </c>
      <c r="D48" s="82" t="s">
        <v>11</v>
      </c>
      <c r="E48" s="83" t="s">
        <v>12</v>
      </c>
      <c r="F48" s="92" t="str">
        <f t="shared" si="1"/>
        <v>12.751-1.129j</v>
      </c>
      <c r="G48" s="83" t="str">
        <f t="shared" si="0"/>
        <v>0.685+0.994j</v>
      </c>
    </row>
    <row r="49" spans="3:7">
      <c r="C49" s="35">
        <v>150</v>
      </c>
      <c r="D49" s="82" t="s">
        <v>13</v>
      </c>
      <c r="E49" s="83" t="s">
        <v>14</v>
      </c>
      <c r="F49" s="92" t="str">
        <f t="shared" si="1"/>
        <v>12.653-1.587j</v>
      </c>
      <c r="G49" s="83" t="str">
        <f t="shared" si="0"/>
        <v>0.704+1.17j</v>
      </c>
    </row>
    <row r="50" spans="3:7">
      <c r="C50" s="35">
        <v>175</v>
      </c>
      <c r="D50" s="82" t="s">
        <v>15</v>
      </c>
      <c r="E50" s="83" t="s">
        <v>16</v>
      </c>
      <c r="F50" s="92" t="str">
        <f t="shared" si="1"/>
        <v>12.555-1.3j</v>
      </c>
      <c r="G50" s="83" t="str">
        <f t="shared" si="0"/>
        <v>0.789+1.301j</v>
      </c>
    </row>
    <row r="51" spans="3:7">
      <c r="C51" s="35">
        <v>200</v>
      </c>
      <c r="D51" s="82" t="s">
        <v>17</v>
      </c>
      <c r="E51" s="83" t="s">
        <v>18</v>
      </c>
      <c r="F51" s="92" t="str">
        <f t="shared" si="1"/>
        <v>12.421-1.383j</v>
      </c>
      <c r="G51" s="83" t="str">
        <f t="shared" si="0"/>
        <v>0.828+1.461j</v>
      </c>
    </row>
    <row r="52" spans="3:7">
      <c r="C52" s="35">
        <v>250</v>
      </c>
      <c r="D52" s="82" t="s">
        <v>19</v>
      </c>
      <c r="E52" s="83" t="s">
        <v>20</v>
      </c>
      <c r="F52" s="92" t="str">
        <f t="shared" si="1"/>
        <v>12.31-1.66j</v>
      </c>
      <c r="G52" s="83" t="str">
        <f t="shared" si="0"/>
        <v>0.887+1.726j</v>
      </c>
    </row>
    <row r="53" spans="3:7">
      <c r="C53" s="35">
        <v>275</v>
      </c>
      <c r="D53" s="82" t="s">
        <v>21</v>
      </c>
      <c r="E53" s="83" t="s">
        <v>22</v>
      </c>
      <c r="F53" s="92" t="str">
        <f t="shared" si="1"/>
        <v>12.24-1.017j</v>
      </c>
      <c r="G53" s="83" t="str">
        <f t="shared" si="0"/>
        <v>0.884+1.897j</v>
      </c>
    </row>
    <row r="54" spans="3:7">
      <c r="C54" s="35">
        <v>300</v>
      </c>
      <c r="D54" s="82" t="s">
        <v>23</v>
      </c>
      <c r="E54" s="83" t="s">
        <v>24</v>
      </c>
      <c r="F54" s="92" t="str">
        <f t="shared" si="1"/>
        <v>11.936-0.822j</v>
      </c>
      <c r="G54" s="83" t="str">
        <f t="shared" si="0"/>
        <v>0.984+2.038j</v>
      </c>
    </row>
    <row r="55" spans="3:7">
      <c r="C55" s="35">
        <v>500</v>
      </c>
      <c r="D55" s="82" t="s">
        <v>25</v>
      </c>
      <c r="E55" s="83" t="s">
        <v>26</v>
      </c>
      <c r="F55" s="92" t="str">
        <f t="shared" si="1"/>
        <v>11.489-0.332j</v>
      </c>
      <c r="G55" s="83" t="str">
        <f t="shared" si="0"/>
        <v>1.214+3.139j</v>
      </c>
    </row>
    <row r="56" spans="3:7">
      <c r="C56" s="35">
        <v>1000</v>
      </c>
      <c r="D56" s="82" t="s">
        <v>27</v>
      </c>
      <c r="E56" s="83" t="s">
        <v>28</v>
      </c>
      <c r="F56" s="92" t="str">
        <f t="shared" si="1"/>
        <v>11.296-0.349j</v>
      </c>
      <c r="G56" s="83" t="str">
        <f t="shared" si="0"/>
        <v>1.408+5.978j</v>
      </c>
    </row>
    <row r="57" spans="3:7">
      <c r="C57" s="80">
        <v>3000</v>
      </c>
      <c r="D57" s="84" t="s">
        <v>29</v>
      </c>
      <c r="E57" s="85" t="s">
        <v>30</v>
      </c>
      <c r="F57" s="93" t="str">
        <f t="shared" si="1"/>
        <v>11.004-4.056j</v>
      </c>
      <c r="G57" s="85" t="str">
        <f t="shared" si="0"/>
        <v>1.93+13.591j</v>
      </c>
    </row>
    <row r="58" spans="3:7" ht="15.75" thickBot="1">
      <c r="C58" s="81">
        <v>5000</v>
      </c>
      <c r="D58" s="86" t="s">
        <v>31</v>
      </c>
      <c r="E58" s="87" t="s">
        <v>32</v>
      </c>
      <c r="F58" s="94" t="str">
        <f t="shared" si="1"/>
        <v>10.173-0.329j</v>
      </c>
      <c r="G58" s="87" t="str">
        <f t="shared" si="0"/>
        <v>1.489+25.658j</v>
      </c>
    </row>
    <row r="59" spans="3:7" ht="15.75" thickTop="1"/>
  </sheetData>
  <mergeCells count="12">
    <mergeCell ref="N24:O24"/>
    <mergeCell ref="N5:O5"/>
    <mergeCell ref="C5:C6"/>
    <mergeCell ref="D5:E5"/>
    <mergeCell ref="F5:G5"/>
    <mergeCell ref="I5:I6"/>
    <mergeCell ref="J5:K5"/>
    <mergeCell ref="C42:C43"/>
    <mergeCell ref="D42:E42"/>
    <mergeCell ref="F42:G42"/>
    <mergeCell ref="I24:I25"/>
    <mergeCell ref="J24:K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21"/>
  <sheetViews>
    <sheetView zoomScale="25" zoomScaleNormal="25" workbookViewId="0">
      <selection activeCell="H2" sqref="H2"/>
    </sheetView>
  </sheetViews>
  <sheetFormatPr defaultRowHeight="15"/>
  <cols>
    <col min="2" max="2" width="41" customWidth="1"/>
    <col min="3" max="3" width="39.7109375" customWidth="1"/>
    <col min="5" max="5" width="10.42578125" bestFit="1" customWidth="1"/>
    <col min="6" max="6" width="9.7109375" bestFit="1" customWidth="1"/>
    <col min="8" max="8" width="34.7109375" customWidth="1"/>
    <col min="9" max="9" width="36.5703125" bestFit="1" customWidth="1"/>
    <col min="11" max="11" width="36.5703125" bestFit="1" customWidth="1"/>
    <col min="12" max="12" width="35.5703125" bestFit="1" customWidth="1"/>
    <col min="13" max="13" width="36.28515625" bestFit="1" customWidth="1"/>
    <col min="14" max="14" width="37.5703125" bestFit="1" customWidth="1"/>
    <col min="15" max="15" width="5" customWidth="1"/>
    <col min="16" max="16" width="37.5703125" bestFit="1" customWidth="1"/>
    <col min="17" max="17" width="38.7109375" bestFit="1" customWidth="1"/>
    <col min="18" max="18" width="11.5703125" bestFit="1" customWidth="1"/>
    <col min="19" max="19" width="18.85546875" bestFit="1" customWidth="1"/>
    <col min="20" max="20" width="15.42578125" bestFit="1" customWidth="1"/>
    <col min="21" max="21" width="4.7109375" customWidth="1"/>
    <col min="22" max="23" width="33.42578125" bestFit="1" customWidth="1"/>
    <col min="24" max="24" width="11.5703125" bestFit="1" customWidth="1"/>
    <col min="25" max="25" width="11.42578125" bestFit="1" customWidth="1"/>
    <col min="26" max="26" width="15.42578125" bestFit="1" customWidth="1"/>
  </cols>
  <sheetData>
    <row r="3" spans="2:26">
      <c r="B3" s="141" t="s">
        <v>48</v>
      </c>
      <c r="C3" s="141"/>
    </row>
    <row r="4" spans="2:26" ht="15.75" thickBot="1">
      <c r="K4" s="149" t="s">
        <v>227</v>
      </c>
      <c r="L4" s="149"/>
      <c r="M4" s="149"/>
      <c r="N4" s="149"/>
      <c r="P4" s="148" t="s">
        <v>225</v>
      </c>
      <c r="Q4" s="149"/>
      <c r="R4" s="149"/>
      <c r="S4" s="149"/>
      <c r="T4" s="149"/>
      <c r="V4" s="148" t="s">
        <v>226</v>
      </c>
      <c r="W4" s="149"/>
      <c r="X4" s="149"/>
      <c r="Y4" s="149"/>
      <c r="Z4" s="149"/>
    </row>
    <row r="5" spans="2:26" ht="27.75" thickTop="1" thickBot="1">
      <c r="B5" s="7" t="s">
        <v>36</v>
      </c>
      <c r="C5" s="8" t="s">
        <v>37</v>
      </c>
      <c r="E5" t="s">
        <v>34</v>
      </c>
      <c r="F5" t="s">
        <v>35</v>
      </c>
      <c r="H5" s="26" t="s">
        <v>223</v>
      </c>
      <c r="I5" s="26" t="s">
        <v>224</v>
      </c>
      <c r="K5" s="79" t="s">
        <v>215</v>
      </c>
      <c r="L5" s="79" t="s">
        <v>216</v>
      </c>
      <c r="M5" s="26" t="s">
        <v>217</v>
      </c>
      <c r="N5" s="26" t="s">
        <v>218</v>
      </c>
      <c r="O5" s="26"/>
      <c r="P5" s="26" t="s">
        <v>219</v>
      </c>
      <c r="Q5" s="26" t="s">
        <v>220</v>
      </c>
      <c r="R5" s="26" t="s">
        <v>221</v>
      </c>
      <c r="S5" s="26" t="s">
        <v>222</v>
      </c>
      <c r="T5" s="26" t="s">
        <v>228</v>
      </c>
      <c r="U5" s="26"/>
      <c r="V5" s="26" t="s">
        <v>219</v>
      </c>
      <c r="W5" s="26" t="s">
        <v>220</v>
      </c>
      <c r="X5" s="26" t="s">
        <v>221</v>
      </c>
      <c r="Y5" s="26" t="s">
        <v>222</v>
      </c>
      <c r="Z5" s="26" t="s">
        <v>228</v>
      </c>
    </row>
    <row r="6" spans="2:26" ht="15.75" thickBot="1">
      <c r="B6" s="9" t="s">
        <v>185</v>
      </c>
      <c r="C6" s="76" t="s">
        <v>186</v>
      </c>
      <c r="E6" t="s">
        <v>3</v>
      </c>
      <c r="F6" t="s">
        <v>4</v>
      </c>
      <c r="H6" t="str">
        <f t="shared" ref="H6:H20" si="0">IMDIV(P6,Q6)</f>
        <v>13.9899982466541-3.72999894962813j</v>
      </c>
      <c r="I6" t="str">
        <f t="shared" ref="I6:I20" si="1">IMDIV(V6,W6)</f>
        <v>0.420000974817833+0.159999981849214j</v>
      </c>
      <c r="K6" s="77" t="str">
        <f t="shared" ref="K6:K20" si="2">IMSQRT(IMDIV(C6,B6))</f>
        <v>0.168745858893935+0.055631074535877j</v>
      </c>
      <c r="L6" s="78" t="str">
        <f t="shared" ref="L6:L20" si="3">IMSQRT(IMPRODUCT(C6,B6))</f>
        <v>2.54754490925307+0.131852435173942j</v>
      </c>
      <c r="M6" t="str">
        <f t="shared" ref="M6:M20" si="4">IMDIV(IMSUM(IMEXP(K6),IMEXP(IMPRODUCT(-1,K6))),2)</f>
        <v>1.01270231214777+0.0094272643949624j</v>
      </c>
      <c r="N6" t="str">
        <f t="shared" ref="N6:N20" si="5">IMDIV(IMSUB(IMEXP(K6),IMEXP(IMPRODUCT(-1,K6))),2)</f>
        <v>0.169285552162478+0.0563959081448585j</v>
      </c>
      <c r="P6" t="str">
        <f t="shared" ref="P6:P20" si="6">IMSUM(IMPRODUCT(R6, M6), IMPRODUCT(S6, L6, N6))</f>
        <v>1.01270231638604+0.00942726605488063j</v>
      </c>
      <c r="Q6" t="str">
        <f t="shared" ref="Q6:Q20" si="7" xml:space="preserve"> IMSUM(IMPRODUCT(IMDIV(R6,L6), N6), IMPRODUCT( S6,M6))</f>
        <v>0.0674156443580567+0.0186481473477904j</v>
      </c>
      <c r="R6">
        <v>1</v>
      </c>
      <c r="S6" t="str">
        <f t="shared" ref="S6:S20" si="8">IMDIV(R6,T6)</f>
        <v>0.0000000100000001</v>
      </c>
      <c r="T6">
        <v>99999999</v>
      </c>
      <c r="V6" t="str">
        <f t="shared" ref="V6:V20" si="9">IMSUM(IMPRODUCT(X6, M6), IMPRODUCT(Y6, L6, N6))</f>
        <v>423827.621501182+165991.83041679j</v>
      </c>
      <c r="W6" t="str">
        <f t="shared" ref="W6:W20" si="10" xml:space="preserve"> IMSUM(IMPRODUCT(IMDIV(X6,L6), N6), IMPRODUCT( Y6,M6))</f>
        <v>1012702.3795634+9427.28304310965j</v>
      </c>
      <c r="X6">
        <v>1</v>
      </c>
      <c r="Y6" t="str">
        <f t="shared" ref="Y6:Y20" si="11">IMDIV(X6,Z6)</f>
        <v>1000000</v>
      </c>
      <c r="Z6">
        <v>9.9999999999999995E-7</v>
      </c>
    </row>
    <row r="7" spans="2:26">
      <c r="B7" s="9" t="s">
        <v>187</v>
      </c>
      <c r="C7" s="10" t="s">
        <v>188</v>
      </c>
      <c r="E7" t="s">
        <v>5</v>
      </c>
      <c r="F7" t="s">
        <v>6</v>
      </c>
      <c r="H7" t="str">
        <f t="shared" si="0"/>
        <v>13.2999983419352-1.9499994294801j</v>
      </c>
      <c r="I7" t="str">
        <f t="shared" si="1"/>
        <v>0.480000969633421+0.459999960961293j</v>
      </c>
      <c r="K7" s="77" t="str">
        <f t="shared" si="2"/>
        <v>0.200457664594223+0.101375042772208j</v>
      </c>
      <c r="L7" s="78" t="str">
        <f t="shared" si="3"/>
        <v>2.84761151655983+0.909885349505173j</v>
      </c>
      <c r="M7" t="str">
        <f t="shared" si="4"/>
        <v>1.01492145890734+0.0204227523744558j</v>
      </c>
      <c r="N7" t="str">
        <f t="shared" si="5"/>
        <v>0.200766805935408+0.103241616751399j</v>
      </c>
      <c r="P7" t="str">
        <f t="shared" si="6"/>
        <v>1.01492146368502+0.0204227571411238j</v>
      </c>
      <c r="Q7" t="str">
        <f t="shared" si="7"/>
        <v>0.074483627545274+0.0124560758656389j</v>
      </c>
      <c r="R7">
        <v>1</v>
      </c>
      <c r="S7" t="str">
        <f t="shared" si="8"/>
        <v>0.0000000100000001</v>
      </c>
      <c r="T7">
        <v>99999999</v>
      </c>
      <c r="V7" t="str">
        <f t="shared" si="9"/>
        <v>477768.849104733+476666.812659868j</v>
      </c>
      <c r="W7" t="str">
        <f t="shared" si="10"/>
        <v>1014921.53339096+20422.7648305314j</v>
      </c>
      <c r="X7">
        <v>1</v>
      </c>
      <c r="Y7" t="str">
        <f t="shared" si="11"/>
        <v>1000000</v>
      </c>
      <c r="Z7">
        <v>9.9999999999999995E-7</v>
      </c>
    </row>
    <row r="8" spans="2:26">
      <c r="B8" s="9" t="s">
        <v>189</v>
      </c>
      <c r="C8" s="10" t="s">
        <v>190</v>
      </c>
      <c r="E8" t="s">
        <v>7</v>
      </c>
      <c r="F8" t="s">
        <v>8</v>
      </c>
      <c r="H8" t="str">
        <f t="shared" si="0"/>
        <v>13.1799983665621-1.39999955458802j</v>
      </c>
      <c r="I8" t="str">
        <f t="shared" si="1"/>
        <v>0.570000962335507+0.639999947440802j</v>
      </c>
      <c r="K8" s="77" t="str">
        <f t="shared" si="2"/>
        <v>0.226833699415292+0.121749810115185j</v>
      </c>
      <c r="L8" s="78" t="str">
        <f t="shared" si="3"/>
        <v>3.14386688158348+1.21461885755057j</v>
      </c>
      <c r="M8" t="str">
        <f t="shared" si="4"/>
        <v>1.01824364978086+0.0277856381446724j</v>
      </c>
      <c r="N8" t="str">
        <f t="shared" si="5"/>
        <v>0.227090401774572+0.124587166057363j</v>
      </c>
      <c r="P8" t="str">
        <f t="shared" si="6"/>
        <v>1.01824365540702+0.02778564481981j</v>
      </c>
      <c r="Q8" t="str">
        <f t="shared" si="7"/>
        <v>0.0761733385522278+0.0101994158971566j</v>
      </c>
      <c r="R8">
        <v>1</v>
      </c>
      <c r="S8" t="str">
        <f t="shared" si="8"/>
        <v>0.0000000100000001</v>
      </c>
      <c r="T8">
        <v>99999999</v>
      </c>
      <c r="V8" t="str">
        <f t="shared" si="9"/>
        <v>562617.090206156+667513.777387854j</v>
      </c>
      <c r="W8" t="str">
        <f t="shared" si="10"/>
        <v>1018243.72595419+27785.648344088j</v>
      </c>
      <c r="X8">
        <v>1</v>
      </c>
      <c r="Y8" t="str">
        <f t="shared" si="11"/>
        <v>1000000</v>
      </c>
      <c r="Z8">
        <v>9.9999999999999995E-7</v>
      </c>
    </row>
    <row r="9" spans="2:26">
      <c r="B9" s="9" t="s">
        <v>191</v>
      </c>
      <c r="C9" s="10" t="s">
        <v>192</v>
      </c>
      <c r="E9" t="s">
        <v>9</v>
      </c>
      <c r="F9" t="s">
        <v>10</v>
      </c>
      <c r="H9" t="str">
        <f t="shared" si="0"/>
        <v>13.0199984133181-1.27999957189409j</v>
      </c>
      <c r="I9" t="str">
        <f t="shared" si="1"/>
        <v>0.630000957983978+0.789999935193516j</v>
      </c>
      <c r="K9" s="77" t="str">
        <f t="shared" si="2"/>
        <v>0.244455510140509+0.140028049680421j</v>
      </c>
      <c r="L9" s="78" t="str">
        <f t="shared" si="3"/>
        <v>3.34912097683079+1.41520716414523j</v>
      </c>
      <c r="M9" t="str">
        <f t="shared" si="4"/>
        <v>1.01994650658567+0.03445970528919j</v>
      </c>
      <c r="N9" t="str">
        <f t="shared" si="5"/>
        <v>0.244480898200036+0.143761971943197j</v>
      </c>
      <c r="P9" t="str">
        <f t="shared" si="6"/>
        <v>1.0199465127391+0.0344597135638636j</v>
      </c>
      <c r="Q9" t="str">
        <f t="shared" si="7"/>
        <v>0.0773293388286404+0.0102489439647611j</v>
      </c>
      <c r="R9">
        <v>1</v>
      </c>
      <c r="S9" t="str">
        <f t="shared" si="8"/>
        <v>0.0000000100000001</v>
      </c>
      <c r="T9">
        <v>99999999</v>
      </c>
      <c r="V9" t="str">
        <f t="shared" si="9"/>
        <v>615344.151917023+827467.388994577j</v>
      </c>
      <c r="W9" t="str">
        <f t="shared" si="10"/>
        <v>1019946.583915+34459.7155381336j</v>
      </c>
      <c r="X9">
        <v>1</v>
      </c>
      <c r="Y9" t="str">
        <f t="shared" si="11"/>
        <v>1000000</v>
      </c>
      <c r="Z9">
        <v>9.9999999999999995E-7</v>
      </c>
    </row>
    <row r="10" spans="2:26">
      <c r="B10" s="9" t="s">
        <v>193</v>
      </c>
      <c r="C10" s="10" t="s">
        <v>194</v>
      </c>
      <c r="E10" t="s">
        <v>11</v>
      </c>
      <c r="F10" t="s">
        <v>12</v>
      </c>
      <c r="H10" t="str">
        <f t="shared" si="0"/>
        <v>12.9799984201362-0.799999673312029j</v>
      </c>
      <c r="I10" t="str">
        <f t="shared" si="1"/>
        <v>0.700000950816032+0.959999923008699j</v>
      </c>
      <c r="K10" s="77" t="str">
        <f t="shared" si="2"/>
        <v>0.265271057089154+0.154687278041757j</v>
      </c>
      <c r="L10" s="78" t="str">
        <f t="shared" si="3"/>
        <v>3.55702835827078+1.67285705950704j</v>
      </c>
      <c r="M10" t="str">
        <f t="shared" si="4"/>
        <v>1.02302835611597+0.041351633398613j</v>
      </c>
      <c r="N10" t="str">
        <f t="shared" si="5"/>
        <v>0.26518847463648+0.159523876731382j</v>
      </c>
      <c r="P10" t="str">
        <f t="shared" si="6"/>
        <v>1.02302836288019+0.0413516435091468j</v>
      </c>
      <c r="Q10" t="str">
        <f t="shared" si="7"/>
        <v>0.0783218847981439+0.00801303069494156j</v>
      </c>
      <c r="R10">
        <v>1</v>
      </c>
      <c r="S10" t="str">
        <f t="shared" si="8"/>
        <v>0.0000000100000001</v>
      </c>
      <c r="T10">
        <v>99999999</v>
      </c>
      <c r="V10" t="str">
        <f t="shared" si="9"/>
        <v>676423.304246864+1011053.40660199j</v>
      </c>
      <c r="W10" t="str">
        <f t="shared" si="10"/>
        <v>1023028.43443784+41351.6414116433j</v>
      </c>
      <c r="X10">
        <v>1</v>
      </c>
      <c r="Y10" t="str">
        <f t="shared" si="11"/>
        <v>1000000</v>
      </c>
      <c r="Z10">
        <v>9.9999999999999995E-7</v>
      </c>
    </row>
    <row r="11" spans="2:26">
      <c r="B11" s="9" t="s">
        <v>195</v>
      </c>
      <c r="C11" s="10" t="s">
        <v>196</v>
      </c>
      <c r="E11" t="s">
        <v>13</v>
      </c>
      <c r="F11" t="s">
        <v>14</v>
      </c>
      <c r="H11" t="str">
        <f t="shared" si="0"/>
        <v>12.8899984605362-1.19999955374324j</v>
      </c>
      <c r="I11" t="str">
        <f t="shared" si="1"/>
        <v>0.730000951944541+1.1299999078614j</v>
      </c>
      <c r="K11" s="77" t="str">
        <f t="shared" si="2"/>
        <v>0.274263059263366+0.178514360266594j</v>
      </c>
      <c r="L11" s="78" t="str">
        <f t="shared" si="3"/>
        <v>3.75376113045673+1.82346445661213j</v>
      </c>
      <c r="M11" t="str">
        <f t="shared" si="4"/>
        <v>1.02135360463631+0.0493131126235665j</v>
      </c>
      <c r="N11" t="str">
        <f t="shared" si="5"/>
        <v>0.273301093442438+0.184288049123826j</v>
      </c>
      <c r="P11" t="str">
        <f t="shared" si="6"/>
        <v>1.02135361153495+0.0493131245248481j</v>
      </c>
      <c r="Q11" t="str">
        <f t="shared" si="7"/>
        <v>0.0782022180062283+0.0111059556502149j</v>
      </c>
      <c r="R11">
        <v>1</v>
      </c>
      <c r="S11" t="str">
        <f t="shared" si="8"/>
        <v>0.0000000100000001</v>
      </c>
      <c r="T11">
        <v>99999999</v>
      </c>
      <c r="V11" t="str">
        <f t="shared" si="9"/>
        <v>689865.335473465+1190128.19476734j</v>
      </c>
      <c r="W11" t="str">
        <f t="shared" si="10"/>
        <v>1021353.68283852+49313.1237295217j</v>
      </c>
      <c r="X11">
        <v>1</v>
      </c>
      <c r="Y11" t="str">
        <f t="shared" si="11"/>
        <v>1000000</v>
      </c>
      <c r="Z11">
        <v>9.9999999999999995E-7</v>
      </c>
    </row>
    <row r="12" spans="2:26">
      <c r="B12" s="9" t="s">
        <v>197</v>
      </c>
      <c r="C12" s="10" t="s">
        <v>198</v>
      </c>
      <c r="E12" t="s">
        <v>15</v>
      </c>
      <c r="F12" t="s">
        <v>16</v>
      </c>
      <c r="H12" t="str">
        <f t="shared" si="0"/>
        <v>12.8199984800442-0.869999623816008j</v>
      </c>
      <c r="I12" t="str">
        <f t="shared" si="1"/>
        <v>0.820000942917138+1.24999989862232j</v>
      </c>
      <c r="K12" s="77" t="str">
        <f t="shared" si="2"/>
        <v>0.293381602173922+0.185753355467817j</v>
      </c>
      <c r="L12" s="78" t="str">
        <f t="shared" si="3"/>
        <v>3.92487865617112+1.9505825964741j</v>
      </c>
      <c r="M12" t="str">
        <f t="shared" si="4"/>
        <v>1.02539768881228+0.05496440566189j</v>
      </c>
      <c r="N12" t="str">
        <f t="shared" si="5"/>
        <v>0.292488805624268+0.192692415739983j</v>
      </c>
      <c r="P12" t="str">
        <f t="shared" si="6"/>
        <v>1.02539769653349+0.0549644189300694j</v>
      </c>
      <c r="Q12" t="str">
        <f t="shared" si="7"/>
        <v>0.0793279423428879+0.00967080449498246j</v>
      </c>
      <c r="R12">
        <v>1</v>
      </c>
      <c r="S12" t="str">
        <f t="shared" si="8"/>
        <v>0.0000000100000001</v>
      </c>
      <c r="T12">
        <v>99999999</v>
      </c>
      <c r="V12" t="str">
        <f t="shared" si="9"/>
        <v>772121.623146399+1326817.97862251j</v>
      </c>
      <c r="W12" t="str">
        <f t="shared" si="10"/>
        <v>1025397.76814021+54964.4153326939j</v>
      </c>
      <c r="X12">
        <v>1</v>
      </c>
      <c r="Y12" t="str">
        <f t="shared" si="11"/>
        <v>1000000</v>
      </c>
      <c r="Z12">
        <v>9.9999999999999995E-7</v>
      </c>
    </row>
    <row r="13" spans="2:26">
      <c r="B13" s="9" t="s">
        <v>199</v>
      </c>
      <c r="C13" s="10" t="s">
        <v>200</v>
      </c>
      <c r="E13" t="s">
        <v>17</v>
      </c>
      <c r="F13" t="s">
        <v>18</v>
      </c>
      <c r="H13" t="str">
        <f t="shared" si="0"/>
        <v>12.6999985182901-0.899999601430059j</v>
      </c>
      <c r="I13" t="str">
        <f t="shared" si="1"/>
        <v>0.870000939611276+1.39999988548427j</v>
      </c>
      <c r="K13" s="77" t="str">
        <f t="shared" si="2"/>
        <v>0.306025698740868+0.201764225844032j</v>
      </c>
      <c r="L13" s="78" t="str">
        <f t="shared" si="3"/>
        <v>4.08013085135443+2.08289888476955j</v>
      </c>
      <c r="M13" t="str">
        <f t="shared" si="4"/>
        <v>1.02594968584423+0.0622886839588185j</v>
      </c>
      <c r="N13" t="str">
        <f t="shared" si="5"/>
        <v>0.304519536570751+0.209855355944799j</v>
      </c>
      <c r="P13" t="str">
        <f t="shared" si="6"/>
        <v>1.02594969389795+0.0622886988640258j</v>
      </c>
      <c r="Q13" t="str">
        <f t="shared" si="7"/>
        <v>0.0800339473024262+0.0105763177329227j</v>
      </c>
      <c r="R13">
        <v>1</v>
      </c>
      <c r="S13" t="str">
        <f t="shared" si="8"/>
        <v>0.0000000100000001</v>
      </c>
      <c r="T13">
        <v>99999999</v>
      </c>
      <c r="V13" t="str">
        <f t="shared" si="9"/>
        <v>805373.095091822+1490520.77751478j</v>
      </c>
      <c r="W13" t="str">
        <f t="shared" si="10"/>
        <v>1025949.76587817+62288.6945351356j</v>
      </c>
      <c r="X13">
        <v>1</v>
      </c>
      <c r="Y13" t="str">
        <f t="shared" si="11"/>
        <v>1000000</v>
      </c>
      <c r="Z13">
        <v>9.9999999999999995E-7</v>
      </c>
    </row>
    <row r="14" spans="2:26">
      <c r="B14" s="9" t="s">
        <v>201</v>
      </c>
      <c r="C14" s="10" t="s">
        <v>202</v>
      </c>
      <c r="E14" t="s">
        <v>19</v>
      </c>
      <c r="F14" t="s">
        <v>20</v>
      </c>
      <c r="H14" t="str">
        <f t="shared" si="0"/>
        <v>12.6099985595402-1.08999952739215j</v>
      </c>
      <c r="I14" t="str">
        <f t="shared" si="1"/>
        <v>0.950000936448181+1.64999986365809j</v>
      </c>
      <c r="K14" s="77" t="str">
        <f t="shared" si="2"/>
        <v>0.322758315164416+0.228063969353857j</v>
      </c>
      <c r="L14" s="78" t="str">
        <f t="shared" si="3"/>
        <v>4.35179569215902+2.27159101651107j</v>
      </c>
      <c r="M14" t="str">
        <f t="shared" si="4"/>
        <v>1.02528566699553+0.07424667463433j</v>
      </c>
      <c r="N14" t="str">
        <f t="shared" si="5"/>
        <v>0.319887970677171+0.237970972035967j</v>
      </c>
      <c r="P14" t="str">
        <f t="shared" si="6"/>
        <v>1.02528567551067+0.0742466922568871j</v>
      </c>
      <c r="Q14" t="str">
        <f t="shared" si="7"/>
        <v>0.0801991821980986+0.0128202840140488j</v>
      </c>
      <c r="R14">
        <v>1</v>
      </c>
      <c r="S14" t="str">
        <f t="shared" si="8"/>
        <v>0.0000000100000001</v>
      </c>
      <c r="T14">
        <v>99999999</v>
      </c>
      <c r="V14" t="str">
        <f t="shared" si="9"/>
        <v>851515.395784761+1762255.7656919j</v>
      </c>
      <c r="W14" t="str">
        <f t="shared" si="10"/>
        <v>1025285.7471947+74246.6874546133j</v>
      </c>
      <c r="X14">
        <v>1</v>
      </c>
      <c r="Y14" t="str">
        <f t="shared" si="11"/>
        <v>1000000</v>
      </c>
      <c r="Z14">
        <v>9.9999999999999995E-7</v>
      </c>
    </row>
    <row r="15" spans="2:26">
      <c r="B15" s="9" t="s">
        <v>203</v>
      </c>
      <c r="C15" s="10" t="s">
        <v>204</v>
      </c>
      <c r="E15" t="s">
        <v>21</v>
      </c>
      <c r="F15" t="s">
        <v>22</v>
      </c>
      <c r="H15" t="str">
        <f t="shared" si="0"/>
        <v>12.5399985564483-0.389999678958068j</v>
      </c>
      <c r="I15" t="str">
        <f t="shared" si="1"/>
        <v>0.960000928003515+1.80999985342277j</v>
      </c>
      <c r="K15" s="77" t="str">
        <f t="shared" si="2"/>
        <v>0.338605366368562+0.236102455074476j</v>
      </c>
      <c r="L15" s="78" t="str">
        <f t="shared" si="3"/>
        <v>4.38457735369333+2.54562734321432j</v>
      </c>
      <c r="M15" t="str">
        <f t="shared" si="4"/>
        <v>1.0285280049154+0.080727094133002j</v>
      </c>
      <c r="N15" t="str">
        <f t="shared" si="5"/>
        <v>0.335538496740059+0.247453206943218j</v>
      </c>
      <c r="P15" t="str">
        <f t="shared" si="6"/>
        <v>1.02852801332811+0.0807271135243392j</v>
      </c>
      <c r="Q15" t="str">
        <f t="shared" si="7"/>
        <v>0.0817405133034882+0.00897973687665723j</v>
      </c>
      <c r="R15">
        <v>1</v>
      </c>
      <c r="S15" t="str">
        <f t="shared" si="8"/>
        <v>0.0000000100000001</v>
      </c>
      <c r="T15">
        <v>99999999</v>
      </c>
      <c r="V15" t="str">
        <f t="shared" si="9"/>
        <v>841271.872866043+1939133.77999164j</v>
      </c>
      <c r="W15" t="str">
        <f t="shared" si="10"/>
        <v>1028528.0866559+80727.1031127381j</v>
      </c>
      <c r="X15">
        <v>1</v>
      </c>
      <c r="Y15" t="str">
        <f t="shared" si="11"/>
        <v>1000000</v>
      </c>
      <c r="Z15">
        <v>9.9999999999999995E-7</v>
      </c>
    </row>
    <row r="16" spans="2:26">
      <c r="B16" s="9" t="s">
        <v>205</v>
      </c>
      <c r="C16" s="10" t="s">
        <v>206</v>
      </c>
      <c r="E16" t="s">
        <v>23</v>
      </c>
      <c r="F16" t="s">
        <v>24</v>
      </c>
      <c r="H16" t="str">
        <f t="shared" si="0"/>
        <v>12.2699986288801-0.149999727984009j</v>
      </c>
      <c r="I16" t="str">
        <f t="shared" si="1"/>
        <v>1.07000091473102+1.9299998416634j</v>
      </c>
      <c r="K16" s="77" t="str">
        <f t="shared" si="2"/>
        <v>0.360207952812427+0.243779667083626j</v>
      </c>
      <c r="L16" s="78" t="str">
        <f t="shared" si="3"/>
        <v>4.49985539107275+2.61348398513679j</v>
      </c>
      <c r="M16" t="str">
        <f t="shared" si="4"/>
        <v>1.03407297417011+0.088836605864297j</v>
      </c>
      <c r="N16" t="str">
        <f t="shared" si="5"/>
        <v>0.357165901076682+0.257201297672445j</v>
      </c>
      <c r="P16" t="str">
        <f t="shared" si="6"/>
        <v>1.03407298352014+0.0888366267724573j</v>
      </c>
      <c r="Q16" t="str">
        <f t="shared" si="7"/>
        <v>0.0841754460505975+0.00826918762192561j</v>
      </c>
      <c r="R16">
        <v>1</v>
      </c>
      <c r="S16" t="str">
        <f t="shared" si="8"/>
        <v>0.0000000100000001</v>
      </c>
      <c r="T16">
        <v>99999999</v>
      </c>
      <c r="V16" t="str">
        <f t="shared" si="9"/>
        <v>935004.467116903+2090816.09725973j</v>
      </c>
      <c r="W16" t="str">
        <f t="shared" si="10"/>
        <v>1034073.05834555+88836.6141334837j</v>
      </c>
      <c r="X16">
        <v>1</v>
      </c>
      <c r="Y16" t="str">
        <f t="shared" si="11"/>
        <v>1000000</v>
      </c>
      <c r="Z16">
        <v>9.9999999999999995E-7</v>
      </c>
    </row>
    <row r="17" spans="2:26">
      <c r="B17" s="9" t="s">
        <v>207</v>
      </c>
      <c r="C17" s="10" t="s">
        <v>208</v>
      </c>
      <c r="E17" t="s">
        <v>25</v>
      </c>
      <c r="F17" t="s">
        <v>26</v>
      </c>
      <c r="H17" t="str">
        <f t="shared" si="0"/>
        <v>11.9099987363622+0.700000189850982j</v>
      </c>
      <c r="I17" t="str">
        <f t="shared" si="1"/>
        <v>1.4300008660351+2.9099997635412j</v>
      </c>
      <c r="K17" s="77" t="str">
        <f t="shared" si="2"/>
        <v>0.441899178130239+0.312310951042242j</v>
      </c>
      <c r="L17" s="78" t="str">
        <f t="shared" si="3"/>
        <v>5.18061943683551+3.44158651632032j</v>
      </c>
      <c r="M17" t="str">
        <f t="shared" si="4"/>
        <v>1.04606224771448+0.140239660645665j</v>
      </c>
      <c r="N17" t="str">
        <f t="shared" si="5"/>
        <v>0.434343278176715+0.337749936523789j</v>
      </c>
      <c r="P17" t="str">
        <f t="shared" si="6"/>
        <v>1.0460622585922+0.140239693091504j</v>
      </c>
      <c r="Q17" t="str">
        <f t="shared" si="7"/>
        <v>0.0882179165077839+0.00659002041269491j</v>
      </c>
      <c r="R17">
        <v>1</v>
      </c>
      <c r="S17" t="str">
        <f t="shared" si="8"/>
        <v>0.0000000100000001</v>
      </c>
      <c r="T17">
        <v>99999999</v>
      </c>
      <c r="V17" t="str">
        <f t="shared" si="9"/>
        <v>1087772.64781508+3244583.99581211j</v>
      </c>
      <c r="W17" t="str">
        <f t="shared" si="10"/>
        <v>1046062.33593239+140239.667235684j</v>
      </c>
      <c r="X17">
        <v>1</v>
      </c>
      <c r="Y17" t="str">
        <f t="shared" si="11"/>
        <v>1000000</v>
      </c>
      <c r="Z17">
        <v>9.9999999999999995E-7</v>
      </c>
    </row>
    <row r="18" spans="2:26">
      <c r="B18" s="9" t="s">
        <v>209</v>
      </c>
      <c r="C18" s="10" t="s">
        <v>210</v>
      </c>
      <c r="E18" t="s">
        <v>27</v>
      </c>
      <c r="F18" t="s">
        <v>28</v>
      </c>
      <c r="H18" t="str">
        <f t="shared" si="0"/>
        <v>11.829998806311+1.61000028938702j</v>
      </c>
      <c r="I18" t="str">
        <f t="shared" si="1"/>
        <v>2.25000075272304+5.35999958056774j</v>
      </c>
      <c r="K18" s="77" t="str">
        <f t="shared" si="2"/>
        <v>0.570804128242041+0.466480270475875j</v>
      </c>
      <c r="L18" s="78" t="str">
        <f t="shared" si="3"/>
        <v>6.6102488535337+5.07025540832447j</v>
      </c>
      <c r="M18" t="str">
        <f t="shared" si="4"/>
        <v>1.04265356474707+0.270885857272943j</v>
      </c>
      <c r="N18" t="str">
        <f t="shared" si="5"/>
        <v>0.537956678095335+0.525023884312015j</v>
      </c>
      <c r="P18" t="str">
        <f t="shared" si="6"/>
        <v>1.04265357368729+0.270885919254106j</v>
      </c>
      <c r="Q18" t="str">
        <f t="shared" si="7"/>
        <v>0.0895933056971413+0.0107050451338177j</v>
      </c>
      <c r="R18">
        <v>1</v>
      </c>
      <c r="S18" t="str">
        <f t="shared" si="8"/>
        <v>0.0000000100000001</v>
      </c>
      <c r="T18">
        <v>99999999</v>
      </c>
      <c r="V18" t="str">
        <f t="shared" si="9"/>
        <v>894023.368351536+6198116.55679431j</v>
      </c>
      <c r="W18" t="str">
        <f t="shared" si="10"/>
        <v>1042653.65434037+270885.867977985j</v>
      </c>
      <c r="X18">
        <v>1</v>
      </c>
      <c r="Y18" t="str">
        <f t="shared" si="11"/>
        <v>1000000</v>
      </c>
      <c r="Z18">
        <v>9.9999999999999995E-7</v>
      </c>
    </row>
    <row r="19" spans="2:26">
      <c r="B19" s="19" t="s">
        <v>211</v>
      </c>
      <c r="C19" s="20" t="s">
        <v>212</v>
      </c>
      <c r="E19" s="18" t="s">
        <v>29</v>
      </c>
      <c r="F19" s="18" t="s">
        <v>30</v>
      </c>
      <c r="H19" t="str">
        <f t="shared" si="0"/>
        <v>12.009999323311+0.460001306741819j</v>
      </c>
      <c r="I19" t="str">
        <f t="shared" si="1"/>
        <v>6.80000039788586+11.539999062196j</v>
      </c>
      <c r="K19" s="77" t="str">
        <f t="shared" si="2"/>
        <v>0.679773783068959+0.841694695607005j</v>
      </c>
      <c r="L19" s="78" t="str">
        <f t="shared" si="3"/>
        <v>10.8936916618858+6.50483804750287j</v>
      </c>
      <c r="M19" t="str">
        <f t="shared" si="4"/>
        <v>0.82614215804283+0.54691264216888j</v>
      </c>
      <c r="N19" t="str">
        <f t="shared" si="5"/>
        <v>0.48855759724846+0.92481949519767j</v>
      </c>
      <c r="P19" t="str">
        <f t="shared" si="6"/>
        <v>0.826142151106778+0.546912774695746j</v>
      </c>
      <c r="Q19" t="str">
        <f t="shared" si="7"/>
        <v>0.0704287199587721+0.0428405912133485j</v>
      </c>
      <c r="R19">
        <v>1</v>
      </c>
      <c r="S19" t="str">
        <f t="shared" si="8"/>
        <v>0.0000000100000001</v>
      </c>
      <c r="T19">
        <v>99999999</v>
      </c>
      <c r="V19" t="str">
        <f t="shared" si="9"/>
        <v>-693604.389795535+13252687.0174753j</v>
      </c>
      <c r="W19" t="str">
        <f t="shared" si="10"/>
        <v>826142.228471542+546912.685009466j</v>
      </c>
      <c r="X19">
        <v>1</v>
      </c>
      <c r="Y19" t="str">
        <f t="shared" si="11"/>
        <v>1000000</v>
      </c>
      <c r="Z19">
        <v>9.9999999999999995E-7</v>
      </c>
    </row>
    <row r="20" spans="2:26" ht="15.75" thickBot="1">
      <c r="B20" s="21" t="s">
        <v>213</v>
      </c>
      <c r="C20" s="22" t="s">
        <v>214</v>
      </c>
      <c r="E20" s="18" t="s">
        <v>31</v>
      </c>
      <c r="F20" s="18" t="s">
        <v>32</v>
      </c>
      <c r="H20" t="str">
        <f t="shared" si="0"/>
        <v>11.9899994051071+7.79000073716903j</v>
      </c>
      <c r="I20" t="str">
        <f t="shared" si="1"/>
        <v>11.3099997887791+14.3799995876073j</v>
      </c>
      <c r="K20" s="77" t="str">
        <f t="shared" si="2"/>
        <v>1.13795488865193+1.1091733874955j</v>
      </c>
      <c r="L20" s="78" t="str">
        <f t="shared" si="3"/>
        <v>11.9409662708492+10.9087109908348j</v>
      </c>
      <c r="M20" t="str">
        <f t="shared" si="4"/>
        <v>0.766281229421065+1.25342131094678j</v>
      </c>
      <c r="N20" t="str">
        <f t="shared" si="5"/>
        <v>0.623541654044545+1.54035134125338j</v>
      </c>
      <c r="P20" t="str">
        <f t="shared" si="6"/>
        <v>0.766281135845487+1.25342156289997j</v>
      </c>
      <c r="Q20" t="str">
        <f t="shared" si="7"/>
        <v>0.0926994530519895+0.0443113245746705j</v>
      </c>
      <c r="R20">
        <v>1</v>
      </c>
      <c r="S20" t="str">
        <f t="shared" si="8"/>
        <v>0.0000000100000001</v>
      </c>
      <c r="T20">
        <v>99999999</v>
      </c>
      <c r="V20" t="str">
        <f t="shared" si="9"/>
        <v>-9357556.98038121+25195320.3593043j</v>
      </c>
      <c r="W20" t="str">
        <f t="shared" si="10"/>
        <v>766281.32212051+1253421.35525809j</v>
      </c>
      <c r="X20">
        <v>1</v>
      </c>
      <c r="Y20" t="str">
        <f t="shared" si="11"/>
        <v>1000000</v>
      </c>
      <c r="Z20">
        <v>9.9999999999999995E-7</v>
      </c>
    </row>
    <row r="21" spans="2:26" ht="15.75" thickTop="1"/>
  </sheetData>
  <mergeCells count="4">
    <mergeCell ref="B3:C3"/>
    <mergeCell ref="P4:T4"/>
    <mergeCell ref="V4:Z4"/>
    <mergeCell ref="K4:N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A87"/>
  <sheetViews>
    <sheetView topLeftCell="J27" zoomScaleNormal="100" workbookViewId="0">
      <selection activeCell="X47" sqref="X47"/>
    </sheetView>
  </sheetViews>
  <sheetFormatPr defaultRowHeight="15"/>
  <cols>
    <col min="2" max="2" width="12.5703125" bestFit="1" customWidth="1"/>
    <col min="3" max="3" width="35.28515625" bestFit="1" customWidth="1"/>
    <col min="4" max="4" width="37.5703125" bestFit="1" customWidth="1"/>
    <col min="5" max="5" width="11.42578125" customWidth="1"/>
    <col min="7" max="7" width="12.5703125" bestFit="1" customWidth="1"/>
    <col min="8" max="8" width="10.5703125" customWidth="1"/>
    <col min="9" max="9" width="10.42578125" customWidth="1"/>
    <col min="10" max="10" width="16.42578125" bestFit="1" customWidth="1"/>
    <col min="13" max="13" width="18" bestFit="1" customWidth="1"/>
    <col min="15" max="15" width="9.85546875" customWidth="1"/>
    <col min="26" max="26" width="15" customWidth="1"/>
    <col min="27" max="27" width="14.5703125" customWidth="1"/>
    <col min="28" max="28" width="12.5703125" customWidth="1"/>
    <col min="29" max="29" width="12.42578125" customWidth="1"/>
  </cols>
  <sheetData>
    <row r="3" spans="2:27">
      <c r="G3" s="75" t="s">
        <v>240</v>
      </c>
      <c r="X3" s="26" t="s">
        <v>242</v>
      </c>
    </row>
    <row r="4" spans="2:27" ht="15.75" thickBot="1"/>
    <row r="5" spans="2:27" ht="27" thickTop="1">
      <c r="B5" s="37" t="s">
        <v>52</v>
      </c>
      <c r="C5" s="33" t="s">
        <v>36</v>
      </c>
      <c r="D5" s="8" t="s">
        <v>37</v>
      </c>
      <c r="G5" s="41" t="s">
        <v>52</v>
      </c>
      <c r="H5" s="41" t="s">
        <v>54</v>
      </c>
      <c r="I5" s="41" t="s">
        <v>55</v>
      </c>
      <c r="J5" s="41" t="s">
        <v>85</v>
      </c>
      <c r="M5" t="s">
        <v>56</v>
      </c>
      <c r="Y5" t="s">
        <v>52</v>
      </c>
      <c r="Z5" t="s">
        <v>244</v>
      </c>
      <c r="AA5" t="s">
        <v>243</v>
      </c>
    </row>
    <row r="6" spans="2:27" ht="15.75" thickBot="1">
      <c r="B6" s="35">
        <v>20</v>
      </c>
      <c r="C6" s="28" t="str">
        <f>'Processing Ivanek Feed Imped'!K46</f>
        <v>24.5361960839385-6.70462741511732j</v>
      </c>
      <c r="D6" s="10" t="str">
        <f>'Processing Ivanek Feed Imped'!L46</f>
        <v>0.238507437985554+0.0925532017945472j</v>
      </c>
      <c r="G6">
        <v>20</v>
      </c>
      <c r="H6" s="42">
        <f>SQRT(G6)</f>
        <v>4.4721359549995796</v>
      </c>
      <c r="I6">
        <f>IMREAL(D6)</f>
        <v>0.23850743798555399</v>
      </c>
      <c r="J6" s="43">
        <f>$N$21+$N$22*H6</f>
        <v>0.23831896424050447</v>
      </c>
      <c r="K6" t="s">
        <v>239</v>
      </c>
      <c r="Y6">
        <f>B6</f>
        <v>20</v>
      </c>
      <c r="Z6">
        <f t="shared" ref="Z6:Z18" si="0">IMAGINARY(D6)*3.3</f>
        <v>0.3054255659220057</v>
      </c>
      <c r="AA6">
        <f t="shared" ref="AA6:AA18" si="1">IMREAL(D6)*3.3</f>
        <v>0.78707454535232813</v>
      </c>
    </row>
    <row r="7" spans="2:27">
      <c r="B7" s="35">
        <v>50</v>
      </c>
      <c r="C7" s="28" t="str">
        <f>'Processing Ivanek Feed Imped'!K47</f>
        <v>23.2801787637359-3.73159821249277j</v>
      </c>
      <c r="D7" s="10" t="str">
        <f>'Processing Ivanek Feed Imped'!L47</f>
        <v>0.270135137059132+0.265892966604866j</v>
      </c>
      <c r="G7">
        <v>50</v>
      </c>
      <c r="H7" s="42">
        <f t="shared" ref="H7:H18" si="2">SQRT(G7)</f>
        <v>7.0710678118654755</v>
      </c>
      <c r="I7">
        <f t="shared" ref="I7:I18" si="3">IMREAL(D7)</f>
        <v>0.270135137059132</v>
      </c>
      <c r="J7" s="43">
        <f t="shared" ref="J7:J18" si="4">$N$21+$N$22*H7</f>
        <v>0.29604966993775134</v>
      </c>
      <c r="M7" s="47" t="s">
        <v>57</v>
      </c>
      <c r="N7" s="47"/>
      <c r="Y7">
        <f t="shared" ref="Y7:Y18" si="5">B7</f>
        <v>50</v>
      </c>
      <c r="Z7">
        <f t="shared" si="0"/>
        <v>0.87744678979605772</v>
      </c>
      <c r="AA7">
        <f t="shared" si="1"/>
        <v>0.89144595229513557</v>
      </c>
    </row>
    <row r="8" spans="2:27">
      <c r="B8" s="35">
        <v>75</v>
      </c>
      <c r="C8" s="28" t="str">
        <f>'Processing Ivanek Feed Imped'!K48</f>
        <v>23.0159794698307-2.86688997329687j</v>
      </c>
      <c r="D8" s="10" t="str">
        <f>'Processing Ivanek Feed Imped'!L48</f>
        <v>0.319055226117393+0.371563427917274j</v>
      </c>
      <c r="G8">
        <v>75</v>
      </c>
      <c r="H8" s="42">
        <f t="shared" si="2"/>
        <v>8.6602540378443873</v>
      </c>
      <c r="I8">
        <f t="shared" si="3"/>
        <v>0.31905522611739301</v>
      </c>
      <c r="J8" s="43">
        <f t="shared" si="4"/>
        <v>0.3313506502492336</v>
      </c>
      <c r="M8" s="44" t="s">
        <v>58</v>
      </c>
      <c r="N8" s="44">
        <v>0.98776025623810937</v>
      </c>
      <c r="Y8">
        <f t="shared" si="5"/>
        <v>75</v>
      </c>
      <c r="Z8">
        <f t="shared" si="0"/>
        <v>1.226159312127004</v>
      </c>
      <c r="AA8">
        <f t="shared" si="1"/>
        <v>1.0528822461873968</v>
      </c>
    </row>
    <row r="9" spans="2:27">
      <c r="B9" s="35">
        <v>100</v>
      </c>
      <c r="C9" s="28" t="str">
        <f>'Processing Ivanek Feed Imped'!K49</f>
        <v>22.6992760804817-2.74601497514925j</v>
      </c>
      <c r="D9" s="10" t="str">
        <f>'Processing Ivanek Feed Imped'!L49</f>
        <v>0.350261686496972+0.459980476880484j</v>
      </c>
      <c r="G9">
        <v>100</v>
      </c>
      <c r="H9" s="42">
        <f t="shared" si="2"/>
        <v>10</v>
      </c>
      <c r="I9">
        <f t="shared" si="3"/>
        <v>0.35026168649697198</v>
      </c>
      <c r="J9" s="43">
        <f t="shared" si="4"/>
        <v>0.36111075328769948</v>
      </c>
      <c r="M9" s="44" t="s">
        <v>59</v>
      </c>
      <c r="N9" s="44">
        <v>0.97567032380357555</v>
      </c>
      <c r="Y9">
        <f t="shared" si="5"/>
        <v>100</v>
      </c>
      <c r="Z9">
        <f t="shared" si="0"/>
        <v>1.5179355737055971</v>
      </c>
      <c r="AA9">
        <f t="shared" si="1"/>
        <v>1.1558635654400076</v>
      </c>
    </row>
    <row r="10" spans="2:27">
      <c r="B10" s="35">
        <v>125</v>
      </c>
      <c r="C10" s="28" t="str">
        <f>'Processing Ivanek Feed Imped'!K50</f>
        <v>22.5897305861757-2.00029626350363j</v>
      </c>
      <c r="D10" s="10" t="str">
        <f>'Processing Ivanek Feed Imped'!L50</f>
        <v>0.386535476013204+0.561050757999607j</v>
      </c>
      <c r="G10">
        <v>125</v>
      </c>
      <c r="H10" s="42">
        <f t="shared" si="2"/>
        <v>11.180339887498949</v>
      </c>
      <c r="I10">
        <f t="shared" si="3"/>
        <v>0.38653547601320398</v>
      </c>
      <c r="J10" s="43">
        <f t="shared" si="4"/>
        <v>0.3873299304038309</v>
      </c>
      <c r="M10" s="44" t="s">
        <v>60</v>
      </c>
      <c r="N10" s="44">
        <v>0.97345853505844604</v>
      </c>
      <c r="Y10">
        <f t="shared" si="5"/>
        <v>125</v>
      </c>
      <c r="Z10">
        <f t="shared" si="0"/>
        <v>1.851467501398703</v>
      </c>
      <c r="AA10">
        <f t="shared" si="1"/>
        <v>1.2755670708435731</v>
      </c>
    </row>
    <row r="11" spans="2:27">
      <c r="B11" s="35">
        <v>150</v>
      </c>
      <c r="C11" s="28" t="str">
        <f>'Processing Ivanek Feed Imped'!K51</f>
        <v>22.4176126090027-2.81233063848696j</v>
      </c>
      <c r="D11" s="10" t="str">
        <f>'Processing Ivanek Feed Imped'!L51</f>
        <v>0.3973708068225+0.660518064663171j</v>
      </c>
      <c r="G11">
        <v>150</v>
      </c>
      <c r="H11" s="42">
        <f t="shared" si="2"/>
        <v>12.24744871391589</v>
      </c>
      <c r="I11">
        <f t="shared" si="3"/>
        <v>0.39737080682249998</v>
      </c>
      <c r="J11" s="43">
        <f t="shared" si="4"/>
        <v>0.41103387840926325</v>
      </c>
      <c r="M11" s="44" t="s">
        <v>61</v>
      </c>
      <c r="N11" s="44">
        <v>2.5816087425079782E-2</v>
      </c>
      <c r="Y11">
        <f t="shared" si="5"/>
        <v>150</v>
      </c>
      <c r="Z11">
        <f t="shared" si="0"/>
        <v>2.1797096133884639</v>
      </c>
      <c r="AA11">
        <f t="shared" si="1"/>
        <v>1.3113236625142499</v>
      </c>
    </row>
    <row r="12" spans="2:27" ht="15.75" thickBot="1">
      <c r="B12" s="35">
        <v>175</v>
      </c>
      <c r="C12" s="28" t="str">
        <f>'Processing Ivanek Feed Imped'!K52</f>
        <v>22.2426597564846-2.30379819370757j</v>
      </c>
      <c r="D12" s="10" t="str">
        <f>'Processing Ivanek Feed Imped'!L52</f>
        <v>0.445436921796408+0.73452532002528j</v>
      </c>
      <c r="G12">
        <v>175</v>
      </c>
      <c r="H12" s="42">
        <f t="shared" si="2"/>
        <v>13.228756555322953</v>
      </c>
      <c r="I12">
        <f t="shared" si="3"/>
        <v>0.44543692179640798</v>
      </c>
      <c r="J12" s="43">
        <f t="shared" si="4"/>
        <v>0.43283190825795237</v>
      </c>
      <c r="M12" s="45" t="s">
        <v>62</v>
      </c>
      <c r="N12" s="45">
        <v>13</v>
      </c>
      <c r="Y12">
        <f t="shared" si="5"/>
        <v>175</v>
      </c>
      <c r="Z12">
        <f t="shared" si="0"/>
        <v>2.4239335560834241</v>
      </c>
      <c r="AA12">
        <f t="shared" si="1"/>
        <v>1.4699418419281463</v>
      </c>
    </row>
    <row r="13" spans="2:27">
      <c r="B13" s="35">
        <v>200</v>
      </c>
      <c r="C13" s="28" t="str">
        <f>'Processing Ivanek Feed Imped'!K53</f>
        <v>22.0055408335886-2.44997595304939j</v>
      </c>
      <c r="D13" s="10" t="str">
        <f>'Processing Ivanek Feed Imped'!L53</f>
        <v>0.467569063017163+0.824452945645836j</v>
      </c>
      <c r="G13">
        <v>200</v>
      </c>
      <c r="H13" s="42">
        <f t="shared" si="2"/>
        <v>14.142135623730951</v>
      </c>
      <c r="I13">
        <f t="shared" si="3"/>
        <v>0.467569063017163</v>
      </c>
      <c r="J13" s="43">
        <f t="shared" si="4"/>
        <v>0.45312101974388252</v>
      </c>
      <c r="Y13">
        <f t="shared" si="5"/>
        <v>200</v>
      </c>
      <c r="Z13">
        <f t="shared" si="0"/>
        <v>2.7206947206312586</v>
      </c>
      <c r="AA13">
        <f t="shared" si="1"/>
        <v>1.5429779079566379</v>
      </c>
    </row>
    <row r="14" spans="2:27" ht="15.75" thickBot="1">
      <c r="B14" s="35">
        <v>250</v>
      </c>
      <c r="C14" s="28" t="str">
        <f>'Processing Ivanek Feed Imped'!K54</f>
        <v>21.8090032711771-2.94144382016249j</v>
      </c>
      <c r="D14" s="10" t="str">
        <f>'Processing Ivanek Feed Imped'!L54</f>
        <v>0.500385730916548+0.974040686397465j</v>
      </c>
      <c r="G14">
        <v>250</v>
      </c>
      <c r="H14" s="42">
        <f t="shared" si="2"/>
        <v>15.811388300841896</v>
      </c>
      <c r="I14">
        <f t="shared" si="3"/>
        <v>0.50038573091654803</v>
      </c>
      <c r="J14" s="43">
        <f t="shared" si="4"/>
        <v>0.49020053561577787</v>
      </c>
      <c r="M14" t="s">
        <v>63</v>
      </c>
      <c r="Y14">
        <f t="shared" si="5"/>
        <v>250</v>
      </c>
      <c r="Z14">
        <f t="shared" si="0"/>
        <v>3.2143342651116344</v>
      </c>
      <c r="AA14">
        <f t="shared" si="1"/>
        <v>1.6512729120246084</v>
      </c>
    </row>
    <row r="15" spans="2:27">
      <c r="B15" s="35">
        <v>275</v>
      </c>
      <c r="C15" s="28" t="str">
        <f>'Processing Ivanek Feed Imped'!K55</f>
        <v>21.6850318952137-1.80126921349597j</v>
      </c>
      <c r="D15" s="10" t="str">
        <f>'Processing Ivanek Feed Imped'!L55</f>
        <v>0.498750182191943+1.07084847560373j</v>
      </c>
      <c r="G15">
        <v>275</v>
      </c>
      <c r="H15" s="42">
        <f t="shared" si="2"/>
        <v>16.583123951777001</v>
      </c>
      <c r="I15">
        <f t="shared" si="3"/>
        <v>0.498750182191943</v>
      </c>
      <c r="J15" s="43">
        <f t="shared" si="4"/>
        <v>0.50734328740532841</v>
      </c>
      <c r="M15" s="46"/>
      <c r="N15" s="46" t="s">
        <v>68</v>
      </c>
      <c r="O15" s="46" t="s">
        <v>69</v>
      </c>
      <c r="P15" s="46" t="s">
        <v>70</v>
      </c>
      <c r="Q15" s="46" t="s">
        <v>71</v>
      </c>
      <c r="R15" s="46" t="s">
        <v>72</v>
      </c>
      <c r="Y15">
        <f t="shared" si="5"/>
        <v>275</v>
      </c>
      <c r="Z15">
        <f t="shared" si="0"/>
        <v>3.5337999694923088</v>
      </c>
      <c r="AA15">
        <f t="shared" si="1"/>
        <v>1.6458756012334119</v>
      </c>
    </row>
    <row r="16" spans="2:27">
      <c r="B16" s="35">
        <v>300</v>
      </c>
      <c r="C16" s="28" t="str">
        <f>'Processing Ivanek Feed Imped'!K56</f>
        <v>21.1461372822079-1.45696393389918j</v>
      </c>
      <c r="D16" s="10" t="str">
        <f>'Processing Ivanek Feed Imped'!L56</f>
        <v>0.555283178689808+1.15054713018073j</v>
      </c>
      <c r="G16">
        <v>300</v>
      </c>
      <c r="H16" s="42">
        <f t="shared" si="2"/>
        <v>17.320508075688775</v>
      </c>
      <c r="I16">
        <f t="shared" si="3"/>
        <v>0.55528317868980803</v>
      </c>
      <c r="J16" s="43">
        <f t="shared" si="4"/>
        <v>0.52372298036684706</v>
      </c>
      <c r="M16" s="44" t="s">
        <v>64</v>
      </c>
      <c r="N16" s="44">
        <v>1</v>
      </c>
      <c r="O16" s="44">
        <v>0.29399523940798189</v>
      </c>
      <c r="P16" s="44">
        <v>0.29399523940798189</v>
      </c>
      <c r="Q16" s="44">
        <v>441.12274553890597</v>
      </c>
      <c r="R16" s="44">
        <v>3.1597694182748133E-10</v>
      </c>
      <c r="Y16">
        <f t="shared" si="5"/>
        <v>300</v>
      </c>
      <c r="Z16">
        <f t="shared" si="0"/>
        <v>3.7968055295964085</v>
      </c>
      <c r="AA16">
        <f t="shared" si="1"/>
        <v>1.8324344896763665</v>
      </c>
    </row>
    <row r="17" spans="2:27">
      <c r="B17" s="35">
        <v>500</v>
      </c>
      <c r="C17" s="28" t="str">
        <f>'Processing Ivanek Feed Imped'!K57</f>
        <v>20.3546971036241-0.587680815244071j</v>
      </c>
      <c r="D17" s="10" t="str">
        <f>'Processing Ivanek Feed Imped'!L57</f>
        <v>0.685498741592036+1.77167728292488j</v>
      </c>
      <c r="G17">
        <v>500</v>
      </c>
      <c r="H17" s="42">
        <f t="shared" si="2"/>
        <v>22.360679774997898</v>
      </c>
      <c r="I17">
        <f t="shared" si="3"/>
        <v>0.68549874159203605</v>
      </c>
      <c r="J17" s="43">
        <f t="shared" si="4"/>
        <v>0.63568154067604166</v>
      </c>
      <c r="M17" s="44" t="s">
        <v>65</v>
      </c>
      <c r="N17" s="44">
        <v>11</v>
      </c>
      <c r="O17" s="44">
        <v>7.3311740693329866E-3</v>
      </c>
      <c r="P17" s="44">
        <v>6.6647036993936241E-4</v>
      </c>
      <c r="Q17" s="44"/>
      <c r="R17" s="44"/>
      <c r="Y17">
        <f t="shared" si="5"/>
        <v>500</v>
      </c>
      <c r="Z17">
        <f t="shared" si="0"/>
        <v>5.8465350336521036</v>
      </c>
      <c r="AA17">
        <f t="shared" si="1"/>
        <v>2.262145847253719</v>
      </c>
    </row>
    <row r="18" spans="2:27" ht="15.75" thickBot="1">
      <c r="B18" s="35">
        <v>1000</v>
      </c>
      <c r="C18" s="28" t="str">
        <f>'Processing Ivanek Feed Imped'!K58</f>
        <v>20.0120957696578-0.617570166192065j</v>
      </c>
      <c r="D18" s="10" t="str">
        <f>'Processing Ivanek Feed Imped'!L58</f>
        <v>0.794728280995388+3.37406442852168j</v>
      </c>
      <c r="G18">
        <v>1000</v>
      </c>
      <c r="H18" s="42">
        <f t="shared" si="2"/>
        <v>31.622776601683793</v>
      </c>
      <c r="I18">
        <f t="shared" si="3"/>
        <v>0.79472828099538795</v>
      </c>
      <c r="J18" s="43">
        <f t="shared" si="4"/>
        <v>0.84142275109993558</v>
      </c>
      <c r="M18" s="45" t="s">
        <v>66</v>
      </c>
      <c r="N18" s="45">
        <v>12</v>
      </c>
      <c r="O18" s="45">
        <v>0.30132641347731487</v>
      </c>
      <c r="P18" s="45"/>
      <c r="Q18" s="45"/>
      <c r="R18" s="45"/>
      <c r="Y18">
        <f t="shared" si="5"/>
        <v>1000</v>
      </c>
      <c r="Z18">
        <f t="shared" si="0"/>
        <v>11.134412614121544</v>
      </c>
      <c r="AA18">
        <f t="shared" si="1"/>
        <v>2.62260332728478</v>
      </c>
    </row>
    <row r="19" spans="2:27" ht="15.75" thickBot="1">
      <c r="Z19">
        <f t="shared" ref="Z19:Z31" si="6">$N$47*Y6+$N$48*SQRT(Y6)</f>
        <v>0.44998506940151195</v>
      </c>
      <c r="AA19">
        <f t="shared" ref="AA19:AA31" si="7">$N$24+$N$25*SQRT(Y6)</f>
        <v>0.78645258199366475</v>
      </c>
    </row>
    <row r="20" spans="2:27">
      <c r="B20" t="s">
        <v>82</v>
      </c>
      <c r="G20" s="50" t="s">
        <v>80</v>
      </c>
      <c r="H20" s="48">
        <v>-2.4447549499209307E-4</v>
      </c>
      <c r="I20" t="s">
        <v>86</v>
      </c>
      <c r="M20" s="46"/>
      <c r="N20" s="46" t="s">
        <v>73</v>
      </c>
      <c r="O20" s="46" t="s">
        <v>61</v>
      </c>
      <c r="P20" s="46" t="s">
        <v>74</v>
      </c>
      <c r="Q20" s="46" t="s">
        <v>75</v>
      </c>
      <c r="R20" s="46" t="s">
        <v>76</v>
      </c>
      <c r="S20" s="46" t="s">
        <v>77</v>
      </c>
      <c r="T20" s="46" t="s">
        <v>78</v>
      </c>
      <c r="U20" s="46" t="s">
        <v>79</v>
      </c>
      <c r="Z20">
        <f t="shared" si="6"/>
        <v>0.88110791558718238</v>
      </c>
      <c r="AA20">
        <f t="shared" si="7"/>
        <v>0.97696391079457934</v>
      </c>
    </row>
    <row r="21" spans="2:27">
      <c r="B21" s="25">
        <v>3000</v>
      </c>
      <c r="C21" s="29" t="str">
        <f>'Processing Ivanek Feed Imped'!K59</f>
        <v>19.4948003283148-7.18525839865952j</v>
      </c>
      <c r="D21" s="29" t="str">
        <f>'Processing Ivanek Feed Imped'!L59</f>
        <v>1.08946710136851+7.67135339277921j</v>
      </c>
      <c r="G21" s="51" t="s">
        <v>87</v>
      </c>
      <c r="H21" s="42"/>
      <c r="J21" s="43"/>
      <c r="M21" s="44" t="s">
        <v>67</v>
      </c>
      <c r="N21" s="44">
        <v>0.13897832013162015</v>
      </c>
      <c r="O21" s="44">
        <v>1.6645180443397072E-2</v>
      </c>
      <c r="P21" s="44">
        <v>8.3494631136156325</v>
      </c>
      <c r="Q21" s="44">
        <v>4.340239409367601E-6</v>
      </c>
      <c r="R21" s="44">
        <v>0.10234252498865563</v>
      </c>
      <c r="S21" s="44">
        <v>0.17561411527458465</v>
      </c>
      <c r="T21" s="44">
        <v>0.10234252498865563</v>
      </c>
      <c r="U21" s="44">
        <v>0.17561411527458465</v>
      </c>
      <c r="Z21">
        <f t="shared" si="6"/>
        <v>1.2061606036714652</v>
      </c>
      <c r="AA21">
        <f t="shared" si="7"/>
        <v>1.0934571458224709</v>
      </c>
    </row>
    <row r="22" spans="2:27" ht="15.75" thickBot="1">
      <c r="B22" s="36">
        <v>5000</v>
      </c>
      <c r="C22" s="34" t="str">
        <f>'Processing Ivanek Feed Imped'!K64</f>
        <v>7.43521093452682-2.03170527730828j</v>
      </c>
      <c r="D22" s="22" t="str">
        <f>'Processing Ivanek Feed Imped'!L64</f>
        <v>0.787074545352328+0.305425565922006j</v>
      </c>
      <c r="G22" s="51" t="s">
        <v>89</v>
      </c>
      <c r="M22" s="45" t="s">
        <v>88</v>
      </c>
      <c r="N22" s="45">
        <v>2.2213243315607933E-2</v>
      </c>
      <c r="O22" s="45">
        <v>1.0576263144848252E-3</v>
      </c>
      <c r="P22" s="45">
        <v>21.002922309500317</v>
      </c>
      <c r="Q22" s="45">
        <v>3.159769418274802E-10</v>
      </c>
      <c r="R22" s="45">
        <v>1.9885423492504418E-2</v>
      </c>
      <c r="S22" s="45">
        <v>2.4541063138711447E-2</v>
      </c>
      <c r="T22" s="45">
        <v>1.9885423492504418E-2</v>
      </c>
      <c r="U22" s="45">
        <v>2.4541063138711447E-2</v>
      </c>
      <c r="Z22">
        <f t="shared" si="6"/>
        <v>1.5164108659173698</v>
      </c>
      <c r="AA22">
        <f t="shared" si="7"/>
        <v>1.1916654858494082</v>
      </c>
    </row>
    <row r="23" spans="2:27" ht="15.75" thickTop="1">
      <c r="Z23">
        <f t="shared" si="6"/>
        <v>1.817201562325244</v>
      </c>
      <c r="AA23">
        <f t="shared" si="7"/>
        <v>1.278188770332642</v>
      </c>
    </row>
    <row r="24" spans="2:27">
      <c r="K24" s="18" t="s">
        <v>241</v>
      </c>
      <c r="L24" s="18"/>
      <c r="M24" s="48" t="s">
        <v>67</v>
      </c>
      <c r="N24" s="18">
        <f>N21*3.3</f>
        <v>0.45862845643434647</v>
      </c>
      <c r="W24" t="s">
        <v>328</v>
      </c>
      <c r="X24" t="s">
        <v>326</v>
      </c>
      <c r="Z24">
        <f t="shared" si="6"/>
        <v>2.1112728367818381</v>
      </c>
      <c r="AA24">
        <f t="shared" si="7"/>
        <v>1.3564117987505688</v>
      </c>
    </row>
    <row r="25" spans="2:27" ht="17.25" thickBot="1">
      <c r="E25" s="53" t="s">
        <v>94</v>
      </c>
      <c r="K25" s="18" t="s">
        <v>326</v>
      </c>
      <c r="L25" s="18"/>
      <c r="M25" s="49" t="s">
        <v>88</v>
      </c>
      <c r="N25" s="18">
        <f>N22*3.3</f>
        <v>7.3303702941506177E-2</v>
      </c>
      <c r="W25">
        <v>225</v>
      </c>
      <c r="X25">
        <f>N24+SQRT(W25)*N25</f>
        <v>1.5581840005569392</v>
      </c>
      <c r="Z25">
        <f t="shared" si="6"/>
        <v>2.400252460443963</v>
      </c>
      <c r="AA25">
        <f t="shared" si="7"/>
        <v>1.4283452972512427</v>
      </c>
    </row>
    <row r="26" spans="2:27">
      <c r="E26" t="s">
        <v>181</v>
      </c>
      <c r="Z26">
        <f t="shared" si="6"/>
        <v>2.6852010162696502</v>
      </c>
      <c r="AA26">
        <f t="shared" si="7"/>
        <v>1.4952993651548123</v>
      </c>
    </row>
    <row r="27" spans="2:27" ht="21">
      <c r="E27" s="41" t="s">
        <v>95</v>
      </c>
      <c r="G27" s="41" t="s">
        <v>52</v>
      </c>
      <c r="H27" s="41" t="s">
        <v>54</v>
      </c>
      <c r="I27" s="41" t="s">
        <v>83</v>
      </c>
      <c r="J27" s="41" t="s">
        <v>84</v>
      </c>
      <c r="K27" s="41" t="s">
        <v>90</v>
      </c>
      <c r="M27" t="s">
        <v>56</v>
      </c>
      <c r="Z27">
        <f t="shared" si="6"/>
        <v>3.245751349455158</v>
      </c>
      <c r="AA27">
        <f t="shared" si="7"/>
        <v>1.6176617675320668</v>
      </c>
    </row>
    <row r="28" spans="2:27" ht="15.75" thickBot="1">
      <c r="E28" s="43">
        <f>J28/2/PI()/G28</f>
        <v>1.0851113350424275E-3</v>
      </c>
      <c r="G28">
        <v>20</v>
      </c>
      <c r="H28" s="42">
        <f t="shared" ref="H28:H40" si="8">SQRT(G28)</f>
        <v>4.4721359549995796</v>
      </c>
      <c r="I28">
        <f>IMAGINARY(D6)</f>
        <v>9.2553201794547194E-2</v>
      </c>
      <c r="J28" s="43">
        <f>$N$43+$N$44*G28+$N$45*H28</f>
        <v>0.13635911193985212</v>
      </c>
      <c r="K28" s="52">
        <f>$N$44*G28/J28</f>
        <v>0.41022924886057738</v>
      </c>
      <c r="Z28">
        <f t="shared" si="6"/>
        <v>3.5222944211360625</v>
      </c>
      <c r="AA28">
        <f t="shared" si="7"/>
        <v>1.6742328484375837</v>
      </c>
    </row>
    <row r="29" spans="2:27">
      <c r="E29" s="43">
        <f t="shared" ref="E29:E40" si="9">J29/2/PI()/G29</f>
        <v>8.4989503129149439E-4</v>
      </c>
      <c r="G29">
        <v>50</v>
      </c>
      <c r="H29" s="42">
        <f t="shared" si="8"/>
        <v>7.0710678118654755</v>
      </c>
      <c r="I29">
        <f t="shared" ref="I29:I40" si="10">IMAGINARY(D7)</f>
        <v>0.265892966604866</v>
      </c>
      <c r="J29" s="43">
        <f t="shared" ref="J29:J40" si="11">$N$43+$N$44*G29+$N$45*H29</f>
        <v>0.26700239866278258</v>
      </c>
      <c r="K29" s="52">
        <f t="shared" ref="K29:K40" si="12">$N$44*G29/J29</f>
        <v>0.52376398439241989</v>
      </c>
      <c r="M29" s="47" t="s">
        <v>57</v>
      </c>
      <c r="N29" s="47"/>
      <c r="W29" t="str">
        <f>COMPLEX(X25,X47,"j")</f>
        <v>1.55818400055694+2.96685518769752j</v>
      </c>
      <c r="Z29">
        <f t="shared" si="6"/>
        <v>3.7967989849858581</v>
      </c>
      <c r="AA29">
        <f t="shared" si="7"/>
        <v>1.728285835210595</v>
      </c>
    </row>
    <row r="30" spans="2:27">
      <c r="E30" s="43">
        <f t="shared" si="9"/>
        <v>7.7562190802835627E-4</v>
      </c>
      <c r="G30">
        <v>75</v>
      </c>
      <c r="H30" s="42">
        <f t="shared" si="8"/>
        <v>8.6602540378443873</v>
      </c>
      <c r="I30">
        <f t="shared" si="10"/>
        <v>0.37156342791727398</v>
      </c>
      <c r="J30" s="43">
        <f t="shared" si="11"/>
        <v>0.36550321323377732</v>
      </c>
      <c r="K30" s="52">
        <f t="shared" si="12"/>
        <v>0.57391933272761453</v>
      </c>
      <c r="M30" s="44" t="s">
        <v>58</v>
      </c>
      <c r="N30" s="44">
        <v>0.99990975127552695</v>
      </c>
      <c r="Z30">
        <f t="shared" si="6"/>
        <v>5.9418660873887008</v>
      </c>
      <c r="AA30">
        <f t="shared" si="7"/>
        <v>2.0977490842309376</v>
      </c>
    </row>
    <row r="31" spans="2:27">
      <c r="E31" s="43">
        <f t="shared" si="9"/>
        <v>7.3134631839094177E-4</v>
      </c>
      <c r="G31">
        <v>100</v>
      </c>
      <c r="H31" s="42">
        <f t="shared" si="8"/>
        <v>10</v>
      </c>
      <c r="I31">
        <f t="shared" si="10"/>
        <v>0.45998047688048399</v>
      </c>
      <c r="J31" s="43">
        <f t="shared" si="11"/>
        <v>0.45951844421738486</v>
      </c>
      <c r="K31" s="52">
        <f t="shared" si="12"/>
        <v>0.60866431772560192</v>
      </c>
      <c r="M31" s="44" t="s">
        <v>59</v>
      </c>
      <c r="N31" s="44">
        <v>0.99981951069588626</v>
      </c>
      <c r="Z31">
        <f t="shared" si="6"/>
        <v>11.106428624386742</v>
      </c>
      <c r="AA31">
        <f t="shared" si="7"/>
        <v>2.7766950786297873</v>
      </c>
    </row>
    <row r="32" spans="2:27">
      <c r="E32" s="43">
        <f t="shared" si="9"/>
        <v>7.0113117875970313E-4</v>
      </c>
      <c r="G32">
        <v>125</v>
      </c>
      <c r="H32" s="42">
        <f t="shared" si="8"/>
        <v>11.180339887498949</v>
      </c>
      <c r="I32">
        <f t="shared" si="10"/>
        <v>0.56105075799960702</v>
      </c>
      <c r="J32" s="43">
        <f t="shared" si="11"/>
        <v>0.55066714009855877</v>
      </c>
      <c r="K32" s="52">
        <f t="shared" si="12"/>
        <v>0.63489461229211241</v>
      </c>
      <c r="M32" s="44" t="s">
        <v>60</v>
      </c>
      <c r="N32" s="44">
        <v>0.90889401166823969</v>
      </c>
    </row>
    <row r="33" spans="4:25">
      <c r="E33" s="43">
        <f t="shared" si="9"/>
        <v>6.788272892716726E-4</v>
      </c>
      <c r="G33">
        <v>150</v>
      </c>
      <c r="H33" s="42">
        <f t="shared" si="8"/>
        <v>12.24744871391589</v>
      </c>
      <c r="I33">
        <f t="shared" si="10"/>
        <v>0.66051806466317098</v>
      </c>
      <c r="J33" s="43">
        <f t="shared" si="11"/>
        <v>0.639779647509648</v>
      </c>
      <c r="K33" s="52">
        <f t="shared" si="12"/>
        <v>0.65575502773637429</v>
      </c>
      <c r="M33" s="44" t="s">
        <v>61</v>
      </c>
      <c r="N33" s="44">
        <v>1.8269301845186013E-2</v>
      </c>
    </row>
    <row r="34" spans="4:25" ht="15.75" thickBot="1">
      <c r="E34" s="43">
        <f t="shared" si="9"/>
        <v>6.6149271644699696E-4</v>
      </c>
      <c r="G34">
        <v>175</v>
      </c>
      <c r="H34" s="42">
        <f t="shared" si="8"/>
        <v>13.228756555322953</v>
      </c>
      <c r="I34">
        <f t="shared" si="10"/>
        <v>0.73452532002528004</v>
      </c>
      <c r="J34" s="43">
        <f t="shared" si="11"/>
        <v>0.72734923043756461</v>
      </c>
      <c r="K34" s="52">
        <f t="shared" si="12"/>
        <v>0.67293924307361785</v>
      </c>
      <c r="M34" s="45" t="s">
        <v>62</v>
      </c>
      <c r="N34" s="45">
        <v>13</v>
      </c>
    </row>
    <row r="35" spans="4:25">
      <c r="E35" s="43">
        <f t="shared" si="9"/>
        <v>6.4751971959802379E-4</v>
      </c>
      <c r="G35">
        <v>200</v>
      </c>
      <c r="H35" s="42">
        <f t="shared" si="8"/>
        <v>14.142135623730951</v>
      </c>
      <c r="I35">
        <f t="shared" si="10"/>
        <v>0.82445294564583604</v>
      </c>
      <c r="J35" s="43">
        <f t="shared" si="11"/>
        <v>0.8136972776574698</v>
      </c>
      <c r="K35" s="52">
        <f t="shared" si="12"/>
        <v>0.68746077444698706</v>
      </c>
    </row>
    <row r="36" spans="4:25" ht="15.75" thickBot="1">
      <c r="E36" s="43">
        <f t="shared" si="9"/>
        <v>6.2615438947027653E-4</v>
      </c>
      <c r="G36">
        <v>250</v>
      </c>
      <c r="H36" s="42">
        <f t="shared" si="8"/>
        <v>15.811388300841896</v>
      </c>
      <c r="I36">
        <f t="shared" si="10"/>
        <v>0.97404068639746499</v>
      </c>
      <c r="J36" s="43">
        <f t="shared" si="11"/>
        <v>0.98356101498641157</v>
      </c>
      <c r="K36" s="52">
        <f t="shared" si="12"/>
        <v>0.71091797069592266</v>
      </c>
      <c r="M36" t="s">
        <v>63</v>
      </c>
    </row>
    <row r="37" spans="4:25">
      <c r="E37" s="43">
        <f t="shared" si="9"/>
        <v>6.1773065360750474E-4</v>
      </c>
      <c r="G37">
        <v>275</v>
      </c>
      <c r="H37" s="42">
        <f t="shared" si="8"/>
        <v>16.583123951777001</v>
      </c>
      <c r="I37">
        <f t="shared" si="10"/>
        <v>1.07084847560373</v>
      </c>
      <c r="J37" s="43">
        <f t="shared" si="11"/>
        <v>1.0673619457988071</v>
      </c>
      <c r="K37" s="52">
        <f t="shared" si="12"/>
        <v>0.72061246322315475</v>
      </c>
      <c r="M37" s="46"/>
      <c r="N37" s="46" t="s">
        <v>68</v>
      </c>
      <c r="O37" s="46" t="s">
        <v>69</v>
      </c>
      <c r="P37" s="46" t="s">
        <v>70</v>
      </c>
      <c r="Q37" s="46" t="s">
        <v>71</v>
      </c>
      <c r="R37" s="46" t="s">
        <v>72</v>
      </c>
    </row>
    <row r="38" spans="4:25">
      <c r="E38" s="43">
        <f t="shared" si="9"/>
        <v>6.1038315796645484E-4</v>
      </c>
      <c r="G38">
        <v>300</v>
      </c>
      <c r="H38" s="42">
        <f t="shared" si="8"/>
        <v>17.320508075688775</v>
      </c>
      <c r="I38">
        <f t="shared" si="10"/>
        <v>1.15054713018073</v>
      </c>
      <c r="J38" s="43">
        <f t="shared" si="11"/>
        <v>1.1505451469654115</v>
      </c>
      <c r="K38" s="52">
        <f t="shared" si="12"/>
        <v>0.72928684563904278</v>
      </c>
      <c r="M38" s="44" t="s">
        <v>64</v>
      </c>
      <c r="N38" s="44">
        <v>2</v>
      </c>
      <c r="O38" s="44">
        <v>20.337928893655835</v>
      </c>
      <c r="P38" s="44">
        <v>10.168964446827918</v>
      </c>
      <c r="Q38" s="44">
        <v>30467.219848991874</v>
      </c>
      <c r="R38" s="44">
        <v>1.1894044438083681E-19</v>
      </c>
    </row>
    <row r="39" spans="4:25">
      <c r="E39" s="43">
        <f t="shared" si="9"/>
        <v>5.7313779333212822E-4</v>
      </c>
      <c r="G39">
        <v>500</v>
      </c>
      <c r="H39" s="42">
        <f t="shared" si="8"/>
        <v>22.360679774997898</v>
      </c>
      <c r="I39">
        <f t="shared" si="10"/>
        <v>1.7716772829248799</v>
      </c>
      <c r="J39" s="43">
        <f t="shared" si="11"/>
        <v>1.8005654810268792</v>
      </c>
      <c r="K39" s="52">
        <f t="shared" si="12"/>
        <v>0.77667955783644549</v>
      </c>
      <c r="M39" s="44" t="s">
        <v>65</v>
      </c>
      <c r="N39" s="44">
        <v>11</v>
      </c>
      <c r="O39" s="44">
        <v>3.6714412890156882E-3</v>
      </c>
      <c r="P39" s="44">
        <v>3.3376738991051713E-4</v>
      </c>
      <c r="Q39" s="44"/>
      <c r="R39" s="44"/>
    </row>
    <row r="40" spans="4:25" ht="15.75" thickBot="1">
      <c r="D40" s="70" t="s">
        <v>182</v>
      </c>
      <c r="E40" s="43">
        <f t="shared" si="9"/>
        <v>5.3564939868741503E-4</v>
      </c>
      <c r="G40">
        <v>1000</v>
      </c>
      <c r="H40" s="42">
        <f t="shared" si="8"/>
        <v>31.622776601683793</v>
      </c>
      <c r="I40">
        <f t="shared" si="10"/>
        <v>3.3740644285216801</v>
      </c>
      <c r="J40" s="43">
        <f t="shared" si="11"/>
        <v>3.3655844316323464</v>
      </c>
      <c r="K40" s="52">
        <f t="shared" si="12"/>
        <v>0.83103688531222097</v>
      </c>
      <c r="M40" s="45" t="s">
        <v>66</v>
      </c>
      <c r="N40" s="45">
        <v>13</v>
      </c>
      <c r="O40" s="45">
        <v>20.34160033494485</v>
      </c>
      <c r="P40" s="45"/>
      <c r="Q40" s="45"/>
      <c r="R40" s="45"/>
    </row>
    <row r="41" spans="4:25" ht="15.75" thickBot="1">
      <c r="D41" s="74">
        <f>E41*3.3</f>
        <v>1.6025442518027163E-3</v>
      </c>
      <c r="E41" s="71">
        <f t="shared" ref="E41" si="13">J41/2/PI()/G41</f>
        <v>4.856194702432474E-4</v>
      </c>
      <c r="F41" s="18"/>
      <c r="G41" s="18">
        <v>5000</v>
      </c>
      <c r="H41" s="72">
        <f t="shared" ref="H41" si="14">SQRT(G41)</f>
        <v>70.710678118654755</v>
      </c>
      <c r="I41" s="61" t="s">
        <v>180</v>
      </c>
      <c r="J41" s="71">
        <f t="shared" ref="J41" si="15">$N$43+$N$44*G41+$N$45*H41</f>
        <v>15.256185601563534</v>
      </c>
      <c r="K41" s="73">
        <f t="shared" ref="K41" si="16">$N$44*G41/J41</f>
        <v>0.91665271921980385</v>
      </c>
    </row>
    <row r="42" spans="4:25">
      <c r="M42" s="46"/>
      <c r="N42" s="46" t="s">
        <v>73</v>
      </c>
      <c r="O42" s="46" t="s">
        <v>61</v>
      </c>
      <c r="P42" s="46" t="s">
        <v>74</v>
      </c>
      <c r="Q42" s="46" t="s">
        <v>75</v>
      </c>
      <c r="R42" s="46" t="s">
        <v>76</v>
      </c>
      <c r="S42" s="46" t="s">
        <v>77</v>
      </c>
      <c r="T42" s="46" t="s">
        <v>78</v>
      </c>
      <c r="U42" s="46" t="s">
        <v>79</v>
      </c>
    </row>
    <row r="43" spans="4:25">
      <c r="G43" s="51" t="s">
        <v>179</v>
      </c>
      <c r="M43" s="48" t="s">
        <v>67</v>
      </c>
      <c r="N43" s="48">
        <v>0</v>
      </c>
      <c r="O43" s="44" t="e">
        <v>#N/A</v>
      </c>
      <c r="P43" s="44" t="e">
        <v>#N/A</v>
      </c>
      <c r="Q43" s="44" t="e">
        <v>#N/A</v>
      </c>
      <c r="R43" s="44" t="e">
        <v>#N/A</v>
      </c>
      <c r="S43" s="44" t="e">
        <v>#N/A</v>
      </c>
      <c r="T43" s="44" t="e">
        <v>#N/A</v>
      </c>
      <c r="U43" s="44" t="e">
        <v>#N/A</v>
      </c>
    </row>
    <row r="44" spans="4:25">
      <c r="G44" s="51" t="s">
        <v>91</v>
      </c>
      <c r="M44" s="48" t="s">
        <v>80</v>
      </c>
      <c r="N44" s="48">
        <v>2.7969248033190464E-3</v>
      </c>
      <c r="O44" s="44">
        <v>3.9678067385525865E-5</v>
      </c>
      <c r="P44" s="44">
        <v>70.490449450149754</v>
      </c>
      <c r="Q44" s="44">
        <v>5.8175187679563201E-16</v>
      </c>
      <c r="R44" s="44">
        <v>2.7095939658223879E-3</v>
      </c>
      <c r="S44" s="44">
        <v>2.8842556408157048E-3</v>
      </c>
      <c r="T44" s="44">
        <v>2.7095939658223879E-3</v>
      </c>
      <c r="U44" s="44">
        <v>2.8842556408157048E-3</v>
      </c>
    </row>
    <row r="45" spans="4:25" ht="15.75" thickBot="1">
      <c r="G45" s="51" t="s">
        <v>92</v>
      </c>
      <c r="M45" s="49" t="s">
        <v>81</v>
      </c>
      <c r="N45" s="49">
        <v>1.798259638854802E-2</v>
      </c>
      <c r="O45" s="45">
        <v>8.8596018289776245E-4</v>
      </c>
      <c r="P45" s="45">
        <v>20.297296352225757</v>
      </c>
      <c r="Q45" s="45">
        <v>4.5616280569924021E-10</v>
      </c>
      <c r="R45" s="45">
        <v>1.6032611173557972E-2</v>
      </c>
      <c r="S45" s="45">
        <v>1.9932581603538068E-2</v>
      </c>
      <c r="T45" s="45">
        <v>1.6032611173557972E-2</v>
      </c>
      <c r="U45" s="45">
        <v>1.9932581603538068E-2</v>
      </c>
    </row>
    <row r="46" spans="4:25">
      <c r="G46" s="51" t="s">
        <v>93</v>
      </c>
      <c r="I46" t="s">
        <v>245</v>
      </c>
      <c r="W46" t="s">
        <v>328</v>
      </c>
    </row>
    <row r="47" spans="4:25">
      <c r="G47" s="54" t="s">
        <v>99</v>
      </c>
      <c r="H47" s="18">
        <v>20</v>
      </c>
      <c r="I47" s="109">
        <f>H47/3.3</f>
        <v>6.0606060606060606</v>
      </c>
      <c r="K47" s="18" t="s">
        <v>241</v>
      </c>
      <c r="L47" s="18"/>
      <c r="M47" s="48" t="s">
        <v>80</v>
      </c>
      <c r="N47" s="18">
        <f>N44*3.3</f>
        <v>9.2298518509528523E-3</v>
      </c>
      <c r="W47">
        <v>225</v>
      </c>
      <c r="X47">
        <f>N47*W47+N48*SQRT(W47)</f>
        <v>2.9668551876975187</v>
      </c>
      <c r="Y47" t="s">
        <v>329</v>
      </c>
    </row>
    <row r="48" spans="4:25" ht="15.75" thickBot="1">
      <c r="G48" s="54" t="s">
        <v>100</v>
      </c>
      <c r="H48" s="18">
        <v>5.5</v>
      </c>
      <c r="I48" s="109">
        <f>H48/3.3</f>
        <v>1.6666666666666667</v>
      </c>
      <c r="K48" s="18" t="s">
        <v>327</v>
      </c>
      <c r="L48" s="18"/>
      <c r="M48" s="49" t="s">
        <v>81</v>
      </c>
      <c r="N48" s="18">
        <f>N45*3.3</f>
        <v>5.9342568082208461E-2</v>
      </c>
    </row>
    <row r="49" spans="5:18">
      <c r="E49" t="s">
        <v>246</v>
      </c>
    </row>
    <row r="50" spans="5:18" ht="21">
      <c r="E50" s="41" t="s">
        <v>52</v>
      </c>
      <c r="F50" s="41" t="s">
        <v>97</v>
      </c>
      <c r="G50" s="41" t="s">
        <v>52</v>
      </c>
      <c r="H50" s="41" t="s">
        <v>97</v>
      </c>
      <c r="I50" s="116" t="s">
        <v>98</v>
      </c>
      <c r="J50" s="117" t="s">
        <v>260</v>
      </c>
      <c r="K50" s="117" t="s">
        <v>261</v>
      </c>
      <c r="M50" t="s">
        <v>56</v>
      </c>
    </row>
    <row r="51" spans="5:18" ht="15.75" thickBot="1">
      <c r="E51">
        <f>G51</f>
        <v>20</v>
      </c>
      <c r="F51">
        <f>H51/3.3</f>
        <v>7.7078004628265697</v>
      </c>
      <c r="G51">
        <v>20</v>
      </c>
      <c r="H51">
        <f>IMABS(C6)</f>
        <v>25.435741527327679</v>
      </c>
      <c r="I51" s="18">
        <f>(1/(H51-$H$47)-1/$H$48)/2/PI()</f>
        <v>3.4208107109782115E-4</v>
      </c>
      <c r="J51" s="118">
        <f>2*PI()*E51</f>
        <v>125.66370614359172</v>
      </c>
      <c r="K51" s="18">
        <f>1/J51</f>
        <v>7.9577471545947669E-3</v>
      </c>
    </row>
    <row r="52" spans="5:18">
      <c r="E52">
        <f t="shared" ref="E52:E63" si="17">G52</f>
        <v>50</v>
      </c>
      <c r="F52">
        <f t="shared" ref="F52:F63" si="18">H52/3.3</f>
        <v>7.1446522571866975</v>
      </c>
      <c r="G52">
        <v>50</v>
      </c>
      <c r="H52">
        <f t="shared" ref="H52:H63" si="19">IMABS(C7)</f>
        <v>23.577352448716102</v>
      </c>
      <c r="I52" s="18">
        <f t="shared" ref="I52:I62" si="20">(1/(H52-$H$47)-1/$H$48)/2/PI()</f>
        <v>1.555232744159632E-2</v>
      </c>
      <c r="J52" s="118">
        <f t="shared" ref="J52:J63" si="21">2*PI()*E52</f>
        <v>314.15926535897933</v>
      </c>
      <c r="K52" s="18">
        <f t="shared" ref="K52:K63" si="22">1/J52</f>
        <v>3.1830988618379067E-3</v>
      </c>
      <c r="M52" s="47" t="s">
        <v>57</v>
      </c>
      <c r="N52" s="47"/>
    </row>
    <row r="53" spans="5:18">
      <c r="E53">
        <f t="shared" si="17"/>
        <v>75</v>
      </c>
      <c r="F53">
        <f t="shared" si="18"/>
        <v>7.0284373770261732</v>
      </c>
      <c r="G53">
        <v>75</v>
      </c>
      <c r="H53">
        <f t="shared" si="19"/>
        <v>23.193843344186369</v>
      </c>
      <c r="I53" s="18">
        <f t="shared" si="20"/>
        <v>2.0894531461892202E-2</v>
      </c>
      <c r="J53" s="118">
        <f t="shared" si="21"/>
        <v>471.23889803846896</v>
      </c>
      <c r="K53" s="18">
        <f t="shared" si="22"/>
        <v>2.1220659078919381E-3</v>
      </c>
      <c r="M53" s="44" t="s">
        <v>58</v>
      </c>
      <c r="N53" s="44">
        <v>0.81952305130138992</v>
      </c>
    </row>
    <row r="54" spans="5:18">
      <c r="E54">
        <f t="shared" si="17"/>
        <v>100</v>
      </c>
      <c r="F54">
        <f t="shared" si="18"/>
        <v>6.9287183519142692</v>
      </c>
      <c r="G54">
        <v>100</v>
      </c>
      <c r="H54">
        <f t="shared" si="19"/>
        <v>22.864770561317087</v>
      </c>
      <c r="I54" s="18">
        <f t="shared" si="20"/>
        <v>2.6618650278407149E-2</v>
      </c>
      <c r="J54" s="118">
        <f t="shared" si="21"/>
        <v>628.31853071795865</v>
      </c>
      <c r="K54" s="18">
        <f t="shared" si="22"/>
        <v>1.5915494309189533E-3</v>
      </c>
      <c r="M54" s="44" t="s">
        <v>59</v>
      </c>
      <c r="N54" s="44">
        <v>0.67161803161434064</v>
      </c>
    </row>
    <row r="55" spans="5:18">
      <c r="E55">
        <f t="shared" si="17"/>
        <v>125</v>
      </c>
      <c r="F55">
        <f t="shared" si="18"/>
        <v>6.8721574846497919</v>
      </c>
      <c r="G55">
        <v>125</v>
      </c>
      <c r="H55">
        <f t="shared" si="19"/>
        <v>22.678119699344311</v>
      </c>
      <c r="I55" s="18">
        <f t="shared" si="20"/>
        <v>3.0490605287729209E-2</v>
      </c>
      <c r="J55" s="118">
        <f t="shared" si="21"/>
        <v>785.39816339744823</v>
      </c>
      <c r="K55" s="18">
        <f t="shared" si="22"/>
        <v>1.2732395447351628E-3</v>
      </c>
      <c r="M55" s="44" t="s">
        <v>60</v>
      </c>
      <c r="N55" s="44">
        <v>0.58828469828100738</v>
      </c>
    </row>
    <row r="56" spans="5:18">
      <c r="E56">
        <f t="shared" si="17"/>
        <v>150</v>
      </c>
      <c r="F56">
        <f t="shared" si="18"/>
        <v>6.8464636244171597</v>
      </c>
      <c r="G56">
        <v>150</v>
      </c>
      <c r="H56">
        <f t="shared" si="19"/>
        <v>22.593329960576625</v>
      </c>
      <c r="I56" s="18">
        <f t="shared" si="20"/>
        <v>3.2433618113592751E-2</v>
      </c>
      <c r="J56" s="118">
        <f t="shared" si="21"/>
        <v>942.47779607693792</v>
      </c>
      <c r="K56" s="18">
        <f t="shared" si="22"/>
        <v>1.061032953945969E-3</v>
      </c>
      <c r="M56" s="44" t="s">
        <v>61</v>
      </c>
      <c r="N56" s="44">
        <v>1.2149931921740338</v>
      </c>
    </row>
    <row r="57" spans="5:18" ht="15.75" thickBot="1">
      <c r="E57">
        <f t="shared" si="17"/>
        <v>175</v>
      </c>
      <c r="F57">
        <f t="shared" si="18"/>
        <v>6.7762576329277611</v>
      </c>
      <c r="G57">
        <v>175</v>
      </c>
      <c r="H57">
        <f t="shared" si="19"/>
        <v>22.36165018866161</v>
      </c>
      <c r="I57" s="18">
        <f t="shared" si="20"/>
        <v>3.8454150563030955E-2</v>
      </c>
      <c r="J57" s="118">
        <f t="shared" si="21"/>
        <v>1099.5574287564275</v>
      </c>
      <c r="K57" s="18">
        <f t="shared" si="22"/>
        <v>9.0945681766797348E-4</v>
      </c>
      <c r="M57" s="45" t="s">
        <v>62</v>
      </c>
      <c r="N57" s="45">
        <v>13</v>
      </c>
    </row>
    <row r="58" spans="5:18">
      <c r="E58">
        <f t="shared" si="17"/>
        <v>200</v>
      </c>
      <c r="F58">
        <f t="shared" si="18"/>
        <v>6.7095467362414718</v>
      </c>
      <c r="G58">
        <v>200</v>
      </c>
      <c r="H58">
        <f t="shared" si="19"/>
        <v>22.141504229596855</v>
      </c>
      <c r="I58" s="18">
        <f t="shared" si="20"/>
        <v>4.5381966548685711E-2</v>
      </c>
      <c r="J58" s="118">
        <f t="shared" si="21"/>
        <v>1256.6370614359173</v>
      </c>
      <c r="K58" s="18">
        <f t="shared" si="22"/>
        <v>7.9577471545947667E-4</v>
      </c>
    </row>
    <row r="59" spans="5:18" ht="15.75" thickBot="1">
      <c r="E59">
        <f t="shared" si="17"/>
        <v>250</v>
      </c>
      <c r="F59">
        <f t="shared" si="18"/>
        <v>6.6686272284461188</v>
      </c>
      <c r="G59">
        <v>250</v>
      </c>
      <c r="H59">
        <f t="shared" si="19"/>
        <v>22.00646985387219</v>
      </c>
      <c r="I59" s="18">
        <f t="shared" si="20"/>
        <v>5.0383611932693216E-2</v>
      </c>
      <c r="J59" s="118">
        <f t="shared" si="21"/>
        <v>1570.7963267948965</v>
      </c>
      <c r="K59" s="18">
        <f t="shared" si="22"/>
        <v>6.366197723675814E-4</v>
      </c>
      <c r="M59" t="s">
        <v>63</v>
      </c>
    </row>
    <row r="60" spans="5:18">
      <c r="E60">
        <f t="shared" si="17"/>
        <v>275</v>
      </c>
      <c r="F60">
        <f t="shared" si="18"/>
        <v>6.593852906322871</v>
      </c>
      <c r="G60">
        <v>275</v>
      </c>
      <c r="H60">
        <f t="shared" si="19"/>
        <v>21.759714590865475</v>
      </c>
      <c r="I60" s="18">
        <f t="shared" si="20"/>
        <v>6.1506349281486704E-2</v>
      </c>
      <c r="J60" s="118">
        <f t="shared" si="21"/>
        <v>1727.8759594743863</v>
      </c>
      <c r="K60" s="18">
        <f t="shared" si="22"/>
        <v>5.7874524760689211E-4</v>
      </c>
      <c r="M60" s="46"/>
      <c r="N60" s="46" t="s">
        <v>68</v>
      </c>
      <c r="O60" s="46" t="s">
        <v>69</v>
      </c>
      <c r="P60" s="46" t="s">
        <v>70</v>
      </c>
      <c r="Q60" s="46" t="s">
        <v>71</v>
      </c>
      <c r="R60" s="46" t="s">
        <v>72</v>
      </c>
    </row>
    <row r="61" spans="5:18">
      <c r="E61">
        <f t="shared" si="17"/>
        <v>300</v>
      </c>
      <c r="F61">
        <f t="shared" si="18"/>
        <v>6.4231121494458341</v>
      </c>
      <c r="G61">
        <v>300</v>
      </c>
      <c r="H61">
        <f t="shared" si="19"/>
        <v>21.19627009317125</v>
      </c>
      <c r="I61" s="18">
        <f t="shared" si="20"/>
        <v>0.10410538743628983</v>
      </c>
      <c r="J61" s="118">
        <f t="shared" si="21"/>
        <v>1884.9555921538758</v>
      </c>
      <c r="K61" s="18">
        <f t="shared" si="22"/>
        <v>5.3051647697298452E-4</v>
      </c>
      <c r="M61" s="44" t="s">
        <v>64</v>
      </c>
      <c r="N61" s="44">
        <v>1</v>
      </c>
      <c r="O61" s="44">
        <v>36.230304229057339</v>
      </c>
      <c r="P61" s="44">
        <v>36.230304229057339</v>
      </c>
      <c r="Q61" s="44">
        <v>24.542810371082631</v>
      </c>
      <c r="R61" s="44">
        <v>4.3283163991655974E-4</v>
      </c>
    </row>
    <row r="62" spans="5:18">
      <c r="E62">
        <f t="shared" si="17"/>
        <v>500</v>
      </c>
      <c r="F62">
        <f t="shared" si="18"/>
        <v>6.1706603323081062</v>
      </c>
      <c r="G62">
        <v>500</v>
      </c>
      <c r="H62">
        <f t="shared" si="19"/>
        <v>20.363179096616751</v>
      </c>
      <c r="I62" s="18">
        <f t="shared" si="20"/>
        <v>0.40928989489419859</v>
      </c>
      <c r="J62" s="118">
        <f t="shared" si="21"/>
        <v>3141.5926535897929</v>
      </c>
      <c r="K62" s="18">
        <f t="shared" si="22"/>
        <v>3.183098861837907E-4</v>
      </c>
      <c r="M62" s="44" t="s">
        <v>65</v>
      </c>
      <c r="N62" s="44">
        <v>12</v>
      </c>
      <c r="O62" s="44">
        <v>17.714501484350986</v>
      </c>
      <c r="P62" s="44">
        <v>1.4762084570292489</v>
      </c>
      <c r="Q62" s="44"/>
      <c r="R62" s="44"/>
    </row>
    <row r="63" spans="5:18" ht="15.75" thickBot="1">
      <c r="E63">
        <f t="shared" si="17"/>
        <v>1000</v>
      </c>
      <c r="F63">
        <f t="shared" si="18"/>
        <v>6.0671583520375059</v>
      </c>
      <c r="G63">
        <v>1000</v>
      </c>
      <c r="H63">
        <f t="shared" si="19"/>
        <v>20.021622561723767</v>
      </c>
      <c r="I63" s="18">
        <f>(1/(H63-$H$47)-1/$H$48)/2/PI()</f>
        <v>7.331658818932123</v>
      </c>
      <c r="J63" s="118">
        <f t="shared" si="21"/>
        <v>6283.1853071795858</v>
      </c>
      <c r="K63" s="18">
        <f t="shared" si="22"/>
        <v>1.5915494309189535E-4</v>
      </c>
      <c r="M63" s="45" t="s">
        <v>66</v>
      </c>
      <c r="N63" s="45">
        <v>13</v>
      </c>
      <c r="O63" s="45">
        <v>53.944805713408329</v>
      </c>
      <c r="P63" s="45"/>
      <c r="Q63" s="45"/>
      <c r="R63" s="45"/>
    </row>
    <row r="64" spans="5:18" ht="15.75" thickBot="1"/>
    <row r="65" spans="7:21">
      <c r="M65" s="46"/>
      <c r="N65" s="46" t="s">
        <v>73</v>
      </c>
      <c r="O65" s="46" t="s">
        <v>61</v>
      </c>
      <c r="P65" s="46" t="s">
        <v>74</v>
      </c>
      <c r="Q65" s="46" t="s">
        <v>75</v>
      </c>
      <c r="R65" s="46" t="s">
        <v>76</v>
      </c>
      <c r="S65" s="46" t="s">
        <v>77</v>
      </c>
      <c r="T65" s="46" t="s">
        <v>78</v>
      </c>
      <c r="U65" s="46" t="s">
        <v>79</v>
      </c>
    </row>
    <row r="66" spans="7:21">
      <c r="M66" s="44" t="s">
        <v>67</v>
      </c>
      <c r="N66" s="44">
        <v>0</v>
      </c>
      <c r="O66" s="44" t="e">
        <v>#N/A</v>
      </c>
      <c r="P66" s="44" t="e">
        <v>#N/A</v>
      </c>
      <c r="Q66" s="44" t="e">
        <v>#N/A</v>
      </c>
      <c r="R66" s="44" t="e">
        <v>#N/A</v>
      </c>
      <c r="S66" s="44" t="e">
        <v>#N/A</v>
      </c>
      <c r="T66" s="44" t="e">
        <v>#N/A</v>
      </c>
      <c r="U66" s="44" t="e">
        <v>#N/A</v>
      </c>
    </row>
    <row r="67" spans="7:21" ht="24" thickBot="1">
      <c r="G67" s="56" t="s">
        <v>101</v>
      </c>
      <c r="H67" s="57">
        <f>N67*1000000</f>
        <v>4750.5551155867361</v>
      </c>
      <c r="I67" s="110">
        <f>H67/3.3</f>
        <v>1439.5621562384049</v>
      </c>
      <c r="J67" s="55" t="s">
        <v>102</v>
      </c>
      <c r="M67" s="45" t="s">
        <v>80</v>
      </c>
      <c r="N67" s="49">
        <v>4.7505551155867364E-3</v>
      </c>
      <c r="O67" s="45">
        <v>9.5891964335658982E-4</v>
      </c>
      <c r="P67" s="45">
        <v>4.9540700813656873</v>
      </c>
      <c r="Q67" s="45">
        <v>3.3408676164408991E-4</v>
      </c>
      <c r="R67" s="45">
        <v>2.6612486940214754E-3</v>
      </c>
      <c r="S67" s="45">
        <v>6.8398615371519974E-3</v>
      </c>
      <c r="T67" s="45">
        <v>2.6612486940214754E-3</v>
      </c>
      <c r="U67" s="45">
        <v>6.8398615371519974E-3</v>
      </c>
    </row>
    <row r="68" spans="7:21">
      <c r="I68" t="s">
        <v>246</v>
      </c>
    </row>
    <row r="69" spans="7:21">
      <c r="G69" s="54" t="s">
        <v>99</v>
      </c>
      <c r="H69" s="18">
        <v>25.5</v>
      </c>
      <c r="I69" s="109">
        <f>H69/3.3</f>
        <v>7.7272727272727275</v>
      </c>
    </row>
    <row r="70" spans="7:21">
      <c r="G70" s="54" t="s">
        <v>100</v>
      </c>
      <c r="H70" s="18">
        <v>92.73</v>
      </c>
      <c r="I70" s="109">
        <f>H70/3.3</f>
        <v>28.1</v>
      </c>
      <c r="M70" t="s">
        <v>56</v>
      </c>
    </row>
    <row r="71" spans="7:21" ht="15.75" thickBot="1"/>
    <row r="72" spans="7:21" ht="21">
      <c r="G72" s="41" t="s">
        <v>52</v>
      </c>
      <c r="H72" s="41" t="s">
        <v>97</v>
      </c>
      <c r="I72" s="41" t="s">
        <v>98</v>
      </c>
      <c r="M72" s="47" t="s">
        <v>57</v>
      </c>
      <c r="N72" s="47"/>
    </row>
    <row r="73" spans="7:21">
      <c r="G73">
        <v>20</v>
      </c>
      <c r="H73">
        <f t="shared" ref="H73:H85" si="23">IMABS(C6)</f>
        <v>25.435741527327679</v>
      </c>
      <c r="I73">
        <f>($H$69-H73)/2/PI()/($H$69*H73-$H$70*($H$69-H73))</f>
        <v>1.5913810415347008E-5</v>
      </c>
      <c r="M73" s="44" t="s">
        <v>58</v>
      </c>
      <c r="N73" s="44">
        <v>0.81936161414538577</v>
      </c>
    </row>
    <row r="74" spans="7:21">
      <c r="G74">
        <v>50</v>
      </c>
      <c r="H74">
        <f t="shared" si="23"/>
        <v>23.577352448716102</v>
      </c>
      <c r="I74">
        <f t="shared" ref="I74:I85" si="24">($H$69-H74)/2/PI()/($H$69*H74-$H$70*($H$69-H74))</f>
        <v>7.2351209208813935E-4</v>
      </c>
      <c r="M74" s="44" t="s">
        <v>59</v>
      </c>
      <c r="N74" s="44">
        <v>0.67135345473493213</v>
      </c>
    </row>
    <row r="75" spans="7:21">
      <c r="G75">
        <v>75</v>
      </c>
      <c r="H75">
        <f t="shared" si="23"/>
        <v>23.193843344186369</v>
      </c>
      <c r="I75">
        <f t="shared" si="24"/>
        <v>9.7204168374434552E-4</v>
      </c>
      <c r="M75" s="44" t="s">
        <v>60</v>
      </c>
      <c r="N75" s="44">
        <v>0.58802012140159876</v>
      </c>
    </row>
    <row r="76" spans="7:21">
      <c r="G76">
        <v>100</v>
      </c>
      <c r="H76">
        <f t="shared" si="23"/>
        <v>22.864770561317087</v>
      </c>
      <c r="I76">
        <f t="shared" si="24"/>
        <v>1.2383410345209477E-3</v>
      </c>
      <c r="M76" s="44" t="s">
        <v>61</v>
      </c>
      <c r="N76" s="44">
        <v>5.6876247382440785E-2</v>
      </c>
    </row>
    <row r="77" spans="7:21" ht="15.75" thickBot="1">
      <c r="G77">
        <v>125</v>
      </c>
      <c r="H77">
        <f t="shared" si="23"/>
        <v>22.678119699344311</v>
      </c>
      <c r="I77">
        <f t="shared" si="24"/>
        <v>1.4184747854280994E-3</v>
      </c>
      <c r="M77" s="45" t="s">
        <v>62</v>
      </c>
      <c r="N77" s="45">
        <v>13</v>
      </c>
    </row>
    <row r="78" spans="7:21">
      <c r="G78">
        <v>150</v>
      </c>
      <c r="H78">
        <f t="shared" si="23"/>
        <v>22.593329960576625</v>
      </c>
      <c r="I78">
        <f t="shared" si="24"/>
        <v>1.5088693819648824E-3</v>
      </c>
    </row>
    <row r="79" spans="7:21" ht="15.75" thickBot="1">
      <c r="G79">
        <v>175</v>
      </c>
      <c r="H79">
        <f t="shared" si="23"/>
        <v>22.36165018866161</v>
      </c>
      <c r="I79">
        <f t="shared" si="24"/>
        <v>1.7889638051614637E-3</v>
      </c>
      <c r="M79" t="s">
        <v>63</v>
      </c>
    </row>
    <row r="80" spans="7:21">
      <c r="G80">
        <v>200</v>
      </c>
      <c r="H80">
        <f t="shared" si="23"/>
        <v>22.141504229596855</v>
      </c>
      <c r="I80">
        <f t="shared" si="24"/>
        <v>2.1112712869277963E-3</v>
      </c>
      <c r="M80" s="46"/>
      <c r="N80" s="46" t="s">
        <v>68</v>
      </c>
      <c r="O80" s="46" t="s">
        <v>69</v>
      </c>
      <c r="P80" s="46" t="s">
        <v>70</v>
      </c>
      <c r="Q80" s="46" t="s">
        <v>71</v>
      </c>
      <c r="R80" s="46" t="s">
        <v>72</v>
      </c>
    </row>
    <row r="81" spans="7:21">
      <c r="G81">
        <v>250</v>
      </c>
      <c r="H81">
        <f t="shared" si="23"/>
        <v>22.00646985387219</v>
      </c>
      <c r="I81">
        <f t="shared" si="24"/>
        <v>2.3439684403894138E-3</v>
      </c>
      <c r="M81" s="44" t="s">
        <v>64</v>
      </c>
      <c r="N81" s="44">
        <v>1</v>
      </c>
      <c r="O81" s="44">
        <v>7.9298554685374348E-2</v>
      </c>
      <c r="P81" s="44">
        <v>7.9298554685374348E-2</v>
      </c>
      <c r="Q81" s="44">
        <v>24.513391584023715</v>
      </c>
      <c r="R81" s="44">
        <v>4.3487230057999557E-4</v>
      </c>
    </row>
    <row r="82" spans="7:21">
      <c r="G82">
        <v>275</v>
      </c>
      <c r="H82">
        <f t="shared" si="23"/>
        <v>21.759714590865475</v>
      </c>
      <c r="I82">
        <f t="shared" si="24"/>
        <v>2.861450667066035E-3</v>
      </c>
      <c r="M82" s="44" t="s">
        <v>65</v>
      </c>
      <c r="N82" s="44">
        <v>12</v>
      </c>
      <c r="O82" s="44">
        <v>3.8818890195703226E-2</v>
      </c>
      <c r="P82" s="44">
        <v>3.2349075163086022E-3</v>
      </c>
      <c r="Q82" s="44"/>
      <c r="R82" s="44"/>
    </row>
    <row r="83" spans="7:21" ht="15.75" thickBot="1">
      <c r="G83">
        <v>300</v>
      </c>
      <c r="H83">
        <f t="shared" si="23"/>
        <v>21.19627009317125</v>
      </c>
      <c r="I83">
        <f t="shared" si="24"/>
        <v>4.8434438189744519E-3</v>
      </c>
      <c r="M83" s="45" t="s">
        <v>66</v>
      </c>
      <c r="N83" s="45">
        <v>13</v>
      </c>
      <c r="O83" s="45">
        <v>0.11811744488107757</v>
      </c>
      <c r="P83" s="45"/>
      <c r="Q83" s="45"/>
      <c r="R83" s="45"/>
    </row>
    <row r="84" spans="7:21" ht="15.75" thickBot="1">
      <c r="G84">
        <v>500</v>
      </c>
      <c r="H84">
        <f t="shared" si="23"/>
        <v>20.363179096616751</v>
      </c>
      <c r="I84">
        <f t="shared" si="24"/>
        <v>1.9046613244773535E-2</v>
      </c>
    </row>
    <row r="85" spans="7:21">
      <c r="G85">
        <v>1000</v>
      </c>
      <c r="H85">
        <f t="shared" si="23"/>
        <v>20.021622561723767</v>
      </c>
      <c r="I85">
        <f t="shared" si="24"/>
        <v>0.34307809850960036</v>
      </c>
      <c r="M85" s="46"/>
      <c r="N85" s="46" t="s">
        <v>73</v>
      </c>
      <c r="O85" s="46" t="s">
        <v>61</v>
      </c>
      <c r="P85" s="46" t="s">
        <v>74</v>
      </c>
      <c r="Q85" s="46" t="s">
        <v>75</v>
      </c>
      <c r="R85" s="46" t="s">
        <v>76</v>
      </c>
      <c r="S85" s="46" t="s">
        <v>77</v>
      </c>
      <c r="T85" s="46" t="s">
        <v>78</v>
      </c>
      <c r="U85" s="46" t="s">
        <v>79</v>
      </c>
    </row>
    <row r="86" spans="7:21">
      <c r="M86" s="44" t="s">
        <v>67</v>
      </c>
      <c r="N86" s="44">
        <v>0</v>
      </c>
      <c r="O86" s="44" t="e">
        <v>#N/A</v>
      </c>
      <c r="P86" s="44" t="e">
        <v>#N/A</v>
      </c>
      <c r="Q86" s="44" t="e">
        <v>#N/A</v>
      </c>
      <c r="R86" s="44" t="e">
        <v>#N/A</v>
      </c>
      <c r="S86" s="44" t="e">
        <v>#N/A</v>
      </c>
      <c r="T86" s="44" t="e">
        <v>#N/A</v>
      </c>
      <c r="U86" s="44" t="e">
        <v>#N/A</v>
      </c>
    </row>
    <row r="87" spans="7:21" ht="24" thickBot="1">
      <c r="G87" s="56" t="s">
        <v>101</v>
      </c>
      <c r="H87" s="57">
        <f>N87*1000000</f>
        <v>222.24960951197687</v>
      </c>
      <c r="I87" s="110">
        <f>H87/3.3</f>
        <v>67.348366518780878</v>
      </c>
      <c r="J87" s="55" t="s">
        <v>102</v>
      </c>
      <c r="M87" s="45" t="s">
        <v>80</v>
      </c>
      <c r="N87" s="49">
        <v>2.2224960951197688E-4</v>
      </c>
      <c r="O87" s="45">
        <v>4.4888935351021369E-5</v>
      </c>
      <c r="P87" s="45">
        <v>4.9511000377717798</v>
      </c>
      <c r="Q87" s="45">
        <v>3.3575888433254932E-4</v>
      </c>
      <c r="R87" s="45">
        <v>1.2444502125906872E-4</v>
      </c>
      <c r="S87" s="45">
        <v>3.2005419776488504E-4</v>
      </c>
      <c r="T87" s="45">
        <v>1.2444502125906872E-4</v>
      </c>
      <c r="U87" s="45">
        <v>3.2005419776488504E-4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topLeftCell="C11" zoomScaleNormal="100" workbookViewId="0">
      <selection activeCell="S25" sqref="S25"/>
    </sheetView>
  </sheetViews>
  <sheetFormatPr defaultRowHeight="15"/>
  <cols>
    <col min="1" max="1" width="18" bestFit="1" customWidth="1"/>
    <col min="2" max="2" width="22.42578125" customWidth="1"/>
    <col min="3" max="3" width="12" bestFit="1" customWidth="1"/>
    <col min="4" max="4" width="9.28515625" bestFit="1" customWidth="1"/>
    <col min="5" max="6" width="12" bestFit="1" customWidth="1"/>
    <col min="7" max="7" width="12.7109375" bestFit="1" customWidth="1"/>
    <col min="8" max="8" width="9.28515625" bestFit="1" customWidth="1"/>
    <col min="9" max="9" width="12.7109375" bestFit="1" customWidth="1"/>
    <col min="12" max="12" width="9.28515625" bestFit="1" customWidth="1"/>
    <col min="13" max="13" width="17.85546875" customWidth="1"/>
    <col min="14" max="14" width="19.140625" customWidth="1"/>
    <col min="15" max="15" width="9.28515625" bestFit="1" customWidth="1"/>
    <col min="17" max="19" width="9.28515625" bestFit="1" customWidth="1"/>
  </cols>
  <sheetData>
    <row r="1" spans="1:22">
      <c r="A1" t="s">
        <v>56</v>
      </c>
    </row>
    <row r="2" spans="1:22" ht="15.75" thickBot="1"/>
    <row r="3" spans="1:22">
      <c r="A3" s="47" t="s">
        <v>57</v>
      </c>
      <c r="B3" s="47"/>
      <c r="M3" s="120" t="s">
        <v>272</v>
      </c>
      <c r="N3" s="120" t="s">
        <v>273</v>
      </c>
    </row>
    <row r="4" spans="1:22">
      <c r="A4" s="44" t="s">
        <v>58</v>
      </c>
      <c r="B4" s="44">
        <v>0.98897941631256248</v>
      </c>
      <c r="L4" s="112" t="s">
        <v>33</v>
      </c>
      <c r="M4" s="113" t="s">
        <v>260</v>
      </c>
      <c r="N4" s="113" t="s">
        <v>261</v>
      </c>
      <c r="O4" s="18" t="s">
        <v>244</v>
      </c>
      <c r="Q4" t="s">
        <v>267</v>
      </c>
      <c r="R4" t="s">
        <v>269</v>
      </c>
      <c r="S4" t="s">
        <v>268</v>
      </c>
      <c r="T4" t="s">
        <v>262</v>
      </c>
      <c r="V4" t="s">
        <v>271</v>
      </c>
    </row>
    <row r="5" spans="1:22">
      <c r="A5" s="44" t="s">
        <v>59</v>
      </c>
      <c r="B5" s="44">
        <v>0.97808028588993678</v>
      </c>
      <c r="L5" s="18">
        <v>50</v>
      </c>
      <c r="M5" s="114">
        <f t="shared" ref="M5:M16" si="0">2*PI()*L5</f>
        <v>314.15926535897933</v>
      </c>
      <c r="N5" s="1">
        <f t="shared" ref="N5:N16" si="1">1/M5</f>
        <v>3.1830988618379067E-3</v>
      </c>
      <c r="O5" s="18">
        <v>1.0012026030567893</v>
      </c>
      <c r="Q5">
        <f>$B$17</f>
        <v>0.80631905810510118</v>
      </c>
      <c r="R5">
        <f>$B$18*M5</f>
        <v>-3.5440185803259729E-2</v>
      </c>
      <c r="S5">
        <f>$B$19*N5</f>
        <v>0.27292782778265956</v>
      </c>
      <c r="T5">
        <f>$B$17+$B$18*M5+$B$19*N5</f>
        <v>1.043806700084501</v>
      </c>
      <c r="V5">
        <f t="shared" ref="V5:V16" si="2">1/T5/M5*1000</f>
        <v>3.0495098964015268</v>
      </c>
    </row>
    <row r="6" spans="1:22">
      <c r="A6" s="44" t="s">
        <v>60</v>
      </c>
      <c r="B6" s="44">
        <v>0.97320923830992279</v>
      </c>
      <c r="L6" s="18">
        <v>75</v>
      </c>
      <c r="M6" s="114">
        <f t="shared" si="0"/>
        <v>471.23889803846896</v>
      </c>
      <c r="N6" s="1">
        <f t="shared" si="1"/>
        <v>2.1220659078919381E-3</v>
      </c>
      <c r="O6" s="18">
        <v>0.95237337591432647</v>
      </c>
      <c r="Q6">
        <f t="shared" ref="Q6:Q16" si="3">$B$17</f>
        <v>0.80631905810510118</v>
      </c>
      <c r="R6">
        <f t="shared" ref="R6:R16" si="4">$B$18*M6</f>
        <v>-5.3160278704889589E-2</v>
      </c>
      <c r="S6">
        <f t="shared" ref="S6:S16" si="5">$B$19*N6</f>
        <v>0.18195188518843974</v>
      </c>
      <c r="T6">
        <f t="shared" ref="T6:T16" si="6">$B$17+$B$18*M6+$B$19*N6</f>
        <v>0.93511066458865133</v>
      </c>
      <c r="V6">
        <f t="shared" si="2"/>
        <v>2.2693206143953235</v>
      </c>
    </row>
    <row r="7" spans="1:22">
      <c r="A7" s="44" t="s">
        <v>61</v>
      </c>
      <c r="B7" s="44">
        <v>3.9655958781033611E-2</v>
      </c>
      <c r="L7" s="18">
        <v>100</v>
      </c>
      <c r="M7" s="114">
        <f t="shared" si="0"/>
        <v>628.31853071795865</v>
      </c>
      <c r="N7" s="1">
        <f t="shared" si="1"/>
        <v>1.5915494309189533E-3</v>
      </c>
      <c r="O7" s="18">
        <v>0.9059255782807869</v>
      </c>
      <c r="Q7">
        <f t="shared" si="3"/>
        <v>0.80631905810510118</v>
      </c>
      <c r="R7">
        <f t="shared" si="4"/>
        <v>-7.0880371606519457E-2</v>
      </c>
      <c r="S7">
        <f t="shared" si="5"/>
        <v>0.13646391389132978</v>
      </c>
      <c r="T7">
        <f t="shared" si="6"/>
        <v>0.87190260038991152</v>
      </c>
      <c r="V7">
        <f t="shared" si="2"/>
        <v>1.8253752543084727</v>
      </c>
    </row>
    <row r="8" spans="1:22" ht="15.75" thickBot="1">
      <c r="A8" s="45" t="s">
        <v>62</v>
      </c>
      <c r="B8" s="45">
        <v>12</v>
      </c>
      <c r="L8" s="18">
        <v>125</v>
      </c>
      <c r="M8" s="114">
        <f t="shared" si="0"/>
        <v>785.39816339744823</v>
      </c>
      <c r="N8" s="1">
        <f t="shared" si="1"/>
        <v>1.2732395447351628E-3</v>
      </c>
      <c r="O8" s="18">
        <v>0.86174306646850951</v>
      </c>
      <c r="Q8">
        <f t="shared" si="3"/>
        <v>0.80631905810510118</v>
      </c>
      <c r="R8">
        <f t="shared" si="4"/>
        <v>-8.8600464508149304E-2</v>
      </c>
      <c r="S8">
        <f t="shared" si="5"/>
        <v>0.10917113111306384</v>
      </c>
      <c r="T8">
        <f t="shared" si="6"/>
        <v>0.82688972471001576</v>
      </c>
      <c r="V8">
        <f t="shared" si="2"/>
        <v>1.5397936468271858</v>
      </c>
    </row>
    <row r="9" spans="1:22">
      <c r="L9" s="18">
        <v>150</v>
      </c>
      <c r="M9" s="114">
        <f t="shared" si="0"/>
        <v>942.47779607693792</v>
      </c>
      <c r="N9" s="1">
        <f t="shared" si="1"/>
        <v>1.061032953945969E-3</v>
      </c>
      <c r="O9" s="18">
        <v>0.81971536118432087</v>
      </c>
      <c r="Q9">
        <f t="shared" si="3"/>
        <v>0.80631905810510118</v>
      </c>
      <c r="R9">
        <f t="shared" si="4"/>
        <v>-0.10632055740977918</v>
      </c>
      <c r="S9">
        <f t="shared" si="5"/>
        <v>9.0975942594219872E-2</v>
      </c>
      <c r="T9">
        <f t="shared" si="6"/>
        <v>0.79097444328954181</v>
      </c>
      <c r="V9">
        <f t="shared" si="2"/>
        <v>1.3414250775705157</v>
      </c>
    </row>
    <row r="10" spans="1:22" ht="15.75" thickBot="1">
      <c r="A10" t="s">
        <v>63</v>
      </c>
      <c r="L10" s="18">
        <v>175</v>
      </c>
      <c r="M10" s="114">
        <f t="shared" si="0"/>
        <v>1099.5574287564275</v>
      </c>
      <c r="N10" s="1">
        <f t="shared" si="1"/>
        <v>9.0945681766797348E-4</v>
      </c>
      <c r="O10" s="18">
        <v>0.77973737127375642</v>
      </c>
      <c r="Q10">
        <f t="shared" si="3"/>
        <v>0.80631905810510118</v>
      </c>
      <c r="R10">
        <f t="shared" si="4"/>
        <v>-0.12404065031140903</v>
      </c>
      <c r="S10">
        <f t="shared" si="5"/>
        <v>7.7979379366474172E-2</v>
      </c>
      <c r="T10">
        <f t="shared" si="6"/>
        <v>0.76025778716016634</v>
      </c>
      <c r="V10">
        <f t="shared" si="2"/>
        <v>1.1962479477719243</v>
      </c>
    </row>
    <row r="11" spans="1:22">
      <c r="A11" s="46"/>
      <c r="B11" s="46" t="s">
        <v>68</v>
      </c>
      <c r="C11" s="46" t="s">
        <v>69</v>
      </c>
      <c r="D11" s="46" t="s">
        <v>70</v>
      </c>
      <c r="E11" s="46" t="s">
        <v>71</v>
      </c>
      <c r="F11" s="46" t="s">
        <v>72</v>
      </c>
      <c r="L11" s="18">
        <v>200</v>
      </c>
      <c r="M11" s="114">
        <f t="shared" si="0"/>
        <v>1256.6370614359173</v>
      </c>
      <c r="N11" s="1">
        <f t="shared" si="1"/>
        <v>7.9577471545947667E-4</v>
      </c>
      <c r="O11" s="18">
        <v>0.74170913093843494</v>
      </c>
      <c r="Q11">
        <f t="shared" si="3"/>
        <v>0.80631905810510118</v>
      </c>
      <c r="R11">
        <f t="shared" si="4"/>
        <v>-0.14176074321303891</v>
      </c>
      <c r="S11">
        <f t="shared" si="5"/>
        <v>6.823195694566489E-2</v>
      </c>
      <c r="T11">
        <f t="shared" si="6"/>
        <v>0.73279027183772716</v>
      </c>
      <c r="V11">
        <f t="shared" si="2"/>
        <v>1.0859515280733656</v>
      </c>
    </row>
    <row r="12" spans="1:22">
      <c r="A12" s="44" t="s">
        <v>64</v>
      </c>
      <c r="B12" s="44">
        <v>2</v>
      </c>
      <c r="C12" s="44">
        <v>0.63153734686471941</v>
      </c>
      <c r="D12" s="44">
        <v>0.3157686734323597</v>
      </c>
      <c r="E12" s="44">
        <v>200.79464834279366</v>
      </c>
      <c r="F12" s="44">
        <v>3.4178813697976067E-8</v>
      </c>
      <c r="L12" s="18">
        <v>250</v>
      </c>
      <c r="M12" s="114">
        <f t="shared" si="0"/>
        <v>1570.7963267948965</v>
      </c>
      <c r="N12" s="1">
        <f t="shared" si="1"/>
        <v>6.366197723675814E-4</v>
      </c>
      <c r="O12" s="18">
        <v>0.67112617497202887</v>
      </c>
      <c r="Q12">
        <f t="shared" si="3"/>
        <v>0.80631905810510118</v>
      </c>
      <c r="R12">
        <f t="shared" si="4"/>
        <v>-0.17720092901629861</v>
      </c>
      <c r="S12">
        <f t="shared" si="5"/>
        <v>5.458556555653192E-2</v>
      </c>
      <c r="T12">
        <f t="shared" si="6"/>
        <v>0.68370369464533454</v>
      </c>
      <c r="V12">
        <f t="shared" si="2"/>
        <v>0.93113402392511924</v>
      </c>
    </row>
    <row r="13" spans="1:22">
      <c r="A13" s="44" t="s">
        <v>65</v>
      </c>
      <c r="B13" s="44">
        <v>9</v>
      </c>
      <c r="C13" s="44">
        <v>1.4153355601587333E-2</v>
      </c>
      <c r="D13" s="44">
        <v>1.5725950668430369E-3</v>
      </c>
      <c r="E13" s="44"/>
      <c r="F13" s="44"/>
      <c r="L13" s="18">
        <v>275</v>
      </c>
      <c r="M13" s="114">
        <f t="shared" si="0"/>
        <v>1727.8759594743863</v>
      </c>
      <c r="N13" s="1">
        <f t="shared" si="1"/>
        <v>5.7874524760689211E-4</v>
      </c>
      <c r="O13" s="18">
        <v>0.63839496518600847</v>
      </c>
      <c r="Q13">
        <f t="shared" si="3"/>
        <v>0.80631905810510118</v>
      </c>
      <c r="R13">
        <f t="shared" si="4"/>
        <v>-0.19492102191792851</v>
      </c>
      <c r="S13">
        <f t="shared" si="5"/>
        <v>4.9623241415029017E-2</v>
      </c>
      <c r="T13">
        <f t="shared" si="6"/>
        <v>0.66102127760220175</v>
      </c>
      <c r="V13">
        <f t="shared" si="2"/>
        <v>0.87553194914729693</v>
      </c>
    </row>
    <row r="14" spans="1:22" ht="15.75" thickBot="1">
      <c r="A14" s="45" t="s">
        <v>66</v>
      </c>
      <c r="B14" s="45">
        <v>11</v>
      </c>
      <c r="C14" s="45">
        <v>0.64569070246630678</v>
      </c>
      <c r="D14" s="45"/>
      <c r="E14" s="45"/>
      <c r="F14" s="45"/>
      <c r="L14" s="18">
        <v>300</v>
      </c>
      <c r="M14" s="114">
        <f t="shared" si="0"/>
        <v>1884.9555921538758</v>
      </c>
      <c r="N14" s="1">
        <f t="shared" si="1"/>
        <v>5.3051647697298452E-4</v>
      </c>
      <c r="O14" s="18">
        <v>0.60726007533804027</v>
      </c>
      <c r="Q14">
        <f t="shared" si="3"/>
        <v>0.80631905810510118</v>
      </c>
      <c r="R14">
        <f t="shared" si="4"/>
        <v>-0.21264111481955836</v>
      </c>
      <c r="S14">
        <f t="shared" si="5"/>
        <v>4.5487971297109936E-2</v>
      </c>
      <c r="T14">
        <f t="shared" si="6"/>
        <v>0.63916591458265271</v>
      </c>
      <c r="V14">
        <f t="shared" si="2"/>
        <v>0.83001371767358467</v>
      </c>
    </row>
    <row r="15" spans="1:22" ht="15.75" thickBot="1">
      <c r="L15" s="18">
        <v>500</v>
      </c>
      <c r="M15" s="114">
        <f t="shared" si="0"/>
        <v>3141.5926535897929</v>
      </c>
      <c r="N15" s="1">
        <f t="shared" si="1"/>
        <v>3.183098861837907E-4</v>
      </c>
      <c r="O15" s="18">
        <v>0.40705860165620095</v>
      </c>
      <c r="Q15">
        <f t="shared" si="3"/>
        <v>0.80631905810510118</v>
      </c>
      <c r="R15">
        <f t="shared" si="4"/>
        <v>-0.35440185803259722</v>
      </c>
      <c r="S15">
        <f t="shared" si="5"/>
        <v>2.729278277826596E-2</v>
      </c>
      <c r="T15">
        <f t="shared" si="6"/>
        <v>0.47920998285076993</v>
      </c>
      <c r="V15">
        <f t="shared" si="2"/>
        <v>0.66423884638253694</v>
      </c>
    </row>
    <row r="16" spans="1:22">
      <c r="A16" s="46"/>
      <c r="B16" s="46" t="s">
        <v>73</v>
      </c>
      <c r="C16" s="46" t="s">
        <v>61</v>
      </c>
      <c r="D16" s="46" t="s">
        <v>74</v>
      </c>
      <c r="E16" s="46" t="s">
        <v>75</v>
      </c>
      <c r="F16" s="46" t="s">
        <v>76</v>
      </c>
      <c r="G16" s="46" t="s">
        <v>77</v>
      </c>
      <c r="H16" s="46" t="s">
        <v>78</v>
      </c>
      <c r="I16" s="46" t="s">
        <v>79</v>
      </c>
      <c r="L16" s="18">
        <v>1000</v>
      </c>
      <c r="M16" s="114">
        <f t="shared" si="0"/>
        <v>6283.1853071795858</v>
      </c>
      <c r="N16" s="1">
        <f t="shared" si="1"/>
        <v>1.5915494309189535E-4</v>
      </c>
      <c r="O16" s="18">
        <v>0.14974849090131195</v>
      </c>
      <c r="Q16">
        <f t="shared" si="3"/>
        <v>0.80631905810510118</v>
      </c>
      <c r="R16">
        <f t="shared" si="4"/>
        <v>-0.70880371606519443</v>
      </c>
      <c r="S16">
        <f t="shared" si="5"/>
        <v>1.364639138913298E-2</v>
      </c>
      <c r="T16">
        <f t="shared" si="6"/>
        <v>0.11116173342903973</v>
      </c>
      <c r="V16" s="18">
        <f t="shared" si="2"/>
        <v>1.4317421848543965</v>
      </c>
    </row>
    <row r="17" spans="1:15">
      <c r="A17" s="44" t="s">
        <v>67</v>
      </c>
      <c r="B17" s="44">
        <v>0.80631905810510118</v>
      </c>
      <c r="C17" s="44">
        <v>3.4761250386770852E-2</v>
      </c>
      <c r="D17" s="44">
        <v>23.195916405008358</v>
      </c>
      <c r="E17" s="44">
        <v>2.4473220836466956E-9</v>
      </c>
      <c r="F17" s="44">
        <v>0.72768364655484563</v>
      </c>
      <c r="G17" s="44">
        <v>0.88495446965535673</v>
      </c>
      <c r="H17" s="44">
        <v>0.72768364655484563</v>
      </c>
      <c r="I17" s="44">
        <v>0.88495446965535673</v>
      </c>
    </row>
    <row r="18" spans="1:15">
      <c r="A18" s="44" t="s">
        <v>80</v>
      </c>
      <c r="B18" s="44">
        <v>-1.1280961509367998E-4</v>
      </c>
      <c r="C18" s="44">
        <v>9.5629171992006492E-6</v>
      </c>
      <c r="D18" s="44">
        <v>-11.796569262683732</v>
      </c>
      <c r="E18" s="44">
        <v>8.9059239632424373E-7</v>
      </c>
      <c r="F18" s="44">
        <v>-1.3444243673309787E-4</v>
      </c>
      <c r="G18" s="44">
        <v>-9.1176793454262074E-5</v>
      </c>
      <c r="H18" s="44">
        <v>-1.3444243673309787E-4</v>
      </c>
      <c r="I18" s="44">
        <v>-9.1176793454262074E-5</v>
      </c>
    </row>
    <row r="19" spans="1:15" ht="15.75" thickBot="1">
      <c r="A19" s="45" t="s">
        <v>81</v>
      </c>
      <c r="B19" s="45">
        <v>85.742805872222362</v>
      </c>
      <c r="C19" s="45">
        <v>18.311946694774864</v>
      </c>
      <c r="D19" s="45">
        <v>4.6823424784590619</v>
      </c>
      <c r="E19" s="45">
        <v>1.1484031168971138E-3</v>
      </c>
      <c r="F19" s="45">
        <v>44.318304491858484</v>
      </c>
      <c r="G19" s="45">
        <v>127.16730725258624</v>
      </c>
      <c r="H19" s="45">
        <v>44.318304491858484</v>
      </c>
      <c r="I19" s="45">
        <v>127.16730725258624</v>
      </c>
      <c r="N19" t="s">
        <v>275</v>
      </c>
    </row>
    <row r="20" spans="1:15">
      <c r="M20" s="115" t="s">
        <v>264</v>
      </c>
      <c r="N20">
        <f>-B18*1000000</f>
        <v>112.80961509367998</v>
      </c>
      <c r="O20" s="119" t="s">
        <v>266</v>
      </c>
    </row>
    <row r="21" spans="1:15">
      <c r="M21" s="115" t="s">
        <v>263</v>
      </c>
      <c r="N21">
        <f>1/B19*1000</f>
        <v>11.662786047499345</v>
      </c>
      <c r="O21" t="s">
        <v>265</v>
      </c>
    </row>
    <row r="22" spans="1:15">
      <c r="M22" t="s">
        <v>270</v>
      </c>
    </row>
    <row r="25" spans="1:15" ht="15.75" thickBot="1">
      <c r="G25" s="34"/>
    </row>
    <row r="26" spans="1:15" ht="15.75" thickTop="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77"/>
  <sheetViews>
    <sheetView topLeftCell="G29" zoomScaleNormal="100" workbookViewId="0">
      <selection activeCell="N43" sqref="N43"/>
    </sheetView>
  </sheetViews>
  <sheetFormatPr defaultRowHeight="15"/>
  <cols>
    <col min="1" max="1" width="35.28515625" bestFit="1" customWidth="1"/>
    <col min="2" max="2" width="34.28515625" customWidth="1"/>
    <col min="3" max="3" width="34.28515625" bestFit="1" customWidth="1"/>
    <col min="4" max="4" width="34.28515625" customWidth="1"/>
    <col min="5" max="5" width="37.5703125" customWidth="1"/>
    <col min="6" max="6" width="34.28515625" customWidth="1"/>
    <col min="7" max="7" width="19.85546875" customWidth="1"/>
    <col min="8" max="9" width="25.140625" customWidth="1"/>
    <col min="10" max="10" width="23.42578125" customWidth="1"/>
    <col min="11" max="11" width="9.140625" style="1"/>
  </cols>
  <sheetData>
    <row r="2" spans="2:4" ht="15.75" thickBot="1"/>
    <row r="3" spans="2:4" ht="15.75" thickTop="1">
      <c r="B3" s="122" t="s">
        <v>276</v>
      </c>
      <c r="C3" s="123" t="s">
        <v>277</v>
      </c>
      <c r="D3" s="124"/>
    </row>
    <row r="4" spans="2:4" ht="15.75">
      <c r="B4" s="35">
        <v>7.75</v>
      </c>
      <c r="C4" s="25">
        <v>25</v>
      </c>
      <c r="D4" s="125" t="s">
        <v>278</v>
      </c>
    </row>
    <row r="5" spans="2:4" ht="15.75">
      <c r="B5" s="35"/>
      <c r="C5" s="25">
        <v>40</v>
      </c>
      <c r="D5" s="125" t="s">
        <v>102</v>
      </c>
    </row>
    <row r="6" spans="2:4" ht="15.75" thickBot="1">
      <c r="B6" s="36"/>
      <c r="C6" s="126">
        <v>0.2</v>
      </c>
      <c r="D6" s="127" t="s">
        <v>279</v>
      </c>
    </row>
    <row r="7" spans="2:4" ht="15.75" thickTop="1"/>
    <row r="16" spans="2:4">
      <c r="C16" s="42"/>
    </row>
    <row r="22" spans="2:20">
      <c r="C22" s="75" t="s">
        <v>286</v>
      </c>
    </row>
    <row r="23" spans="2:20">
      <c r="C23" s="75" t="s">
        <v>287</v>
      </c>
      <c r="E23" s="128" t="s">
        <v>301</v>
      </c>
    </row>
    <row r="24" spans="2:20">
      <c r="C24" s="75" t="s">
        <v>325</v>
      </c>
    </row>
    <row r="27" spans="2:20">
      <c r="C27" s="1" t="s">
        <v>280</v>
      </c>
      <c r="E27" s="1" t="s">
        <v>280</v>
      </c>
    </row>
    <row r="28" spans="2:20">
      <c r="B28" s="1" t="s">
        <v>33</v>
      </c>
      <c r="C28" s="1" t="s">
        <v>229</v>
      </c>
      <c r="D28" s="1" t="s">
        <v>284</v>
      </c>
      <c r="E28" s="1" t="s">
        <v>283</v>
      </c>
      <c r="F28" s="1" t="s">
        <v>285</v>
      </c>
      <c r="H28" s="1" t="s">
        <v>281</v>
      </c>
      <c r="I28" s="1"/>
      <c r="J28" s="1" t="s">
        <v>282</v>
      </c>
    </row>
    <row r="29" spans="2:20">
      <c r="B29" s="1">
        <v>20</v>
      </c>
      <c r="C29" s="18" t="s">
        <v>247</v>
      </c>
      <c r="D29" s="58">
        <f>IMABS(C29)</f>
        <v>7.7078004628265715</v>
      </c>
      <c r="E29" s="58" t="str">
        <f>IMDIV(1,IMSUM(IMDIV(1,H29),IMDIV(1,J29)))</f>
        <v>8.13904009532743-0.790968536570636i</v>
      </c>
      <c r="F29" s="58">
        <f>IMABS(E29)</f>
        <v>8.177383744156332</v>
      </c>
      <c r="H29" s="1" t="str">
        <f>COMPLEX($H$47,0)</f>
        <v>8.5</v>
      </c>
      <c r="I29" s="1"/>
      <c r="J29" t="str">
        <f>COMPLEX($I$47,2*PI()*$B29*$K$33/1000 - 1/2/PI()/$B29/$J$33*1000000)</f>
        <v>26-75.5995725797824i</v>
      </c>
    </row>
    <row r="30" spans="2:20">
      <c r="B30" s="1"/>
      <c r="C30" s="24"/>
      <c r="D30" s="58"/>
      <c r="E30" s="58"/>
      <c r="F30" s="58"/>
      <c r="H30" s="1"/>
      <c r="I30" s="1"/>
    </row>
    <row r="31" spans="2:20">
      <c r="B31" s="1"/>
      <c r="C31" s="1" t="s">
        <v>280</v>
      </c>
      <c r="D31" s="26"/>
      <c r="E31" s="131" t="s">
        <v>280</v>
      </c>
      <c r="F31" s="26"/>
      <c r="G31" s="150" t="s">
        <v>313</v>
      </c>
      <c r="H31" s="150"/>
      <c r="I31" s="132"/>
    </row>
    <row r="32" spans="2:20" ht="15.75">
      <c r="C32" s="1" t="s">
        <v>302</v>
      </c>
      <c r="D32" s="131" t="s">
        <v>284</v>
      </c>
      <c r="E32" s="131" t="s">
        <v>283</v>
      </c>
      <c r="F32" s="131" t="s">
        <v>285</v>
      </c>
      <c r="G32" s="131" t="s">
        <v>311</v>
      </c>
      <c r="H32" s="131" t="s">
        <v>312</v>
      </c>
      <c r="I32" s="1" t="s">
        <v>33</v>
      </c>
      <c r="J32" s="133" t="s">
        <v>102</v>
      </c>
      <c r="K32" s="25" t="s">
        <v>279</v>
      </c>
      <c r="R32" s="1"/>
      <c r="S32" s="133"/>
      <c r="T32" s="28"/>
    </row>
    <row r="33" spans="3:19">
      <c r="C33" s="18" t="s">
        <v>288</v>
      </c>
      <c r="D33" s="58">
        <f t="shared" ref="D33" si="0">IMABS(C33)</f>
        <v>7.0293725998235832</v>
      </c>
      <c r="E33" s="130" t="str">
        <f t="shared" ref="E33:E44" si="1">IMDIV(1,IMSUM(IMDIV(1,G33),IMDIV(1,H33)))</f>
        <v>7.30214875293968-1.03619300496691i</v>
      </c>
      <c r="F33" s="58">
        <f t="shared" ref="F33:F44" si="2">IMABS(E33)</f>
        <v>7.3753015093351193</v>
      </c>
      <c r="G33" s="1" t="str">
        <f t="shared" ref="G33:G44" si="3">COMPLEX($H$47,0)</f>
        <v>8.5</v>
      </c>
      <c r="H33" t="str">
        <f t="shared" ref="H33:H44" si="4">COMPLEX($I$47,2*PI()*$I33*$K33/1000 - 1/2/PI()/$I33/$J33*1000000)</f>
        <v>26-29.8439883575606i</v>
      </c>
      <c r="I33" s="1">
        <v>50</v>
      </c>
      <c r="J33" s="25">
        <v>105</v>
      </c>
      <c r="K33" s="25">
        <v>1.5</v>
      </c>
      <c r="L33" s="25"/>
      <c r="M33" s="25"/>
      <c r="P33" s="25"/>
      <c r="R33" s="1"/>
      <c r="S33" s="25"/>
    </row>
    <row r="34" spans="3:19" ht="15.75">
      <c r="C34" s="18" t="s">
        <v>289</v>
      </c>
      <c r="D34" s="58">
        <f t="shared" ref="D34" si="5">IMABS(C34)</f>
        <v>6.9854671130787613</v>
      </c>
      <c r="E34" s="130" t="str">
        <f t="shared" si="1"/>
        <v>7.06594233290349-0.972978073013011i</v>
      </c>
      <c r="F34" s="58">
        <f t="shared" si="2"/>
        <v>7.1326171481779213</v>
      </c>
      <c r="G34" s="1" t="str">
        <f t="shared" si="3"/>
        <v>8.5</v>
      </c>
      <c r="H34" t="str">
        <f t="shared" si="4"/>
        <v>26-23.4075269698961i</v>
      </c>
      <c r="I34" s="1">
        <v>75</v>
      </c>
      <c r="J34" s="25">
        <v>88</v>
      </c>
      <c r="K34" s="25">
        <v>1.5</v>
      </c>
      <c r="L34" s="25"/>
      <c r="M34" s="25"/>
      <c r="P34" s="133"/>
      <c r="R34" s="1"/>
      <c r="S34" s="25"/>
    </row>
    <row r="35" spans="3:19">
      <c r="C35" s="18" t="s">
        <v>290</v>
      </c>
      <c r="D35" s="58">
        <f t="shared" ref="D35" si="6">IMABS(C35)</f>
        <v>6.9426694885240723</v>
      </c>
      <c r="E35" s="130" t="str">
        <f t="shared" si="1"/>
        <v>6.91134864169601-0.896183653670183i</v>
      </c>
      <c r="F35" s="58">
        <f t="shared" si="2"/>
        <v>6.9692097965392694</v>
      </c>
      <c r="G35" s="1" t="str">
        <f t="shared" si="3"/>
        <v>8.5</v>
      </c>
      <c r="H35" t="str">
        <f t="shared" si="4"/>
        <v>26-19.4620020874994i</v>
      </c>
      <c r="I35" s="1">
        <v>100</v>
      </c>
      <c r="J35" s="25">
        <v>78</v>
      </c>
      <c r="K35" s="25">
        <v>1.5</v>
      </c>
      <c r="L35" s="25"/>
      <c r="M35" s="25"/>
      <c r="N35" s="25"/>
      <c r="R35" s="1"/>
      <c r="S35" s="25"/>
    </row>
    <row r="36" spans="3:19">
      <c r="C36" s="18" t="s">
        <v>291</v>
      </c>
      <c r="D36" s="58">
        <f t="shared" ref="D36" si="7">IMABS(C36)</f>
        <v>6.9010254219854774</v>
      </c>
      <c r="E36" s="130" t="str">
        <f t="shared" si="1"/>
        <v>6.8255954363759-0.838398621064535i</v>
      </c>
      <c r="F36" s="58">
        <f t="shared" si="2"/>
        <v>6.8768935798715409</v>
      </c>
      <c r="G36" s="1" t="str">
        <f t="shared" si="3"/>
        <v>8.5</v>
      </c>
      <c r="H36" t="str">
        <f t="shared" si="4"/>
        <v>26-17.2746497800511i</v>
      </c>
      <c r="I36" s="1">
        <v>125</v>
      </c>
      <c r="J36" s="25">
        <v>69</v>
      </c>
      <c r="K36" s="25">
        <v>1.5</v>
      </c>
      <c r="L36" s="25"/>
      <c r="M36" s="25"/>
      <c r="R36" s="1"/>
      <c r="S36" s="25"/>
    </row>
    <row r="37" spans="3:19">
      <c r="C37" s="18" t="s">
        <v>292</v>
      </c>
      <c r="D37" s="58">
        <f t="shared" ref="D37" si="8">IMABS(C37)</f>
        <v>6.8605689242319805</v>
      </c>
      <c r="E37" s="130" t="str">
        <f t="shared" si="1"/>
        <v>6.81029424440821-0.826729188173582i</v>
      </c>
      <c r="F37" s="58">
        <f t="shared" si="2"/>
        <v>6.8602907260551094</v>
      </c>
      <c r="G37" s="1" t="str">
        <f t="shared" si="3"/>
        <v>8.5</v>
      </c>
      <c r="H37" t="str">
        <f t="shared" si="4"/>
        <v>26-16.8799549256427i</v>
      </c>
      <c r="I37" s="1">
        <v>150</v>
      </c>
      <c r="J37" s="25">
        <v>58</v>
      </c>
      <c r="K37" s="25">
        <v>1.5</v>
      </c>
      <c r="L37" s="25"/>
      <c r="M37" s="25"/>
      <c r="R37" s="1"/>
      <c r="S37" s="25"/>
    </row>
    <row r="38" spans="3:19">
      <c r="C38" s="18" t="s">
        <v>293</v>
      </c>
      <c r="D38" s="58">
        <f t="shared" ref="D38" si="9">IMABS(C38)</f>
        <v>6.8213237522538055</v>
      </c>
      <c r="E38" s="130" t="str">
        <f t="shared" si="1"/>
        <v>6.78348677327671-0.80517657522343i</v>
      </c>
      <c r="F38" s="58">
        <f t="shared" si="2"/>
        <v>6.8311054830465485</v>
      </c>
      <c r="G38" s="1" t="str">
        <f t="shared" si="3"/>
        <v>8.5</v>
      </c>
      <c r="H38" t="str">
        <f t="shared" si="4"/>
        <v>26-16.183150477806i</v>
      </c>
      <c r="I38" s="1">
        <v>175</v>
      </c>
      <c r="J38" s="25">
        <v>51</v>
      </c>
      <c r="K38" s="25">
        <v>1.5</v>
      </c>
      <c r="L38" s="25"/>
      <c r="M38" s="25"/>
      <c r="R38" s="1"/>
      <c r="S38" s="25"/>
    </row>
    <row r="39" spans="3:19">
      <c r="C39" s="18" t="s">
        <v>294</v>
      </c>
      <c r="D39" s="58">
        <f t="shared" ref="D39" si="10">IMABS(C39)</f>
        <v>6.7833046991497969</v>
      </c>
      <c r="E39" s="130" t="str">
        <f t="shared" si="1"/>
        <v>6.74047283486579-0.767379335438181i</v>
      </c>
      <c r="F39" s="58">
        <f t="shared" si="2"/>
        <v>6.7840139358657874</v>
      </c>
      <c r="G39" s="1" t="str">
        <f t="shared" si="3"/>
        <v>8.5</v>
      </c>
      <c r="H39" t="str">
        <f t="shared" si="4"/>
        <v>26-15.0464213325158i</v>
      </c>
      <c r="I39" s="1">
        <v>200</v>
      </c>
      <c r="J39" s="25">
        <v>47</v>
      </c>
      <c r="K39" s="25">
        <v>1.5</v>
      </c>
      <c r="L39" s="25"/>
      <c r="M39" s="25"/>
      <c r="R39" s="1"/>
      <c r="S39" s="25"/>
    </row>
    <row r="40" spans="3:19">
      <c r="C40" s="18" t="s">
        <v>295</v>
      </c>
      <c r="D40" s="58">
        <f t="shared" ref="D40" si="11">IMABS(C40)</f>
        <v>6.7109661434737724</v>
      </c>
      <c r="E40" s="130" t="str">
        <f t="shared" si="1"/>
        <v>6.65509615809827-0.678183446711991i</v>
      </c>
      <c r="F40" s="58">
        <f t="shared" si="2"/>
        <v>6.6895618437180548</v>
      </c>
      <c r="G40" s="1" t="str">
        <f t="shared" si="3"/>
        <v>8.5</v>
      </c>
      <c r="H40" t="str">
        <f t="shared" si="4"/>
        <v>26-12.6821400553023i</v>
      </c>
      <c r="I40" s="1">
        <v>250</v>
      </c>
      <c r="J40" s="25">
        <v>31</v>
      </c>
      <c r="K40" s="25">
        <v>5</v>
      </c>
      <c r="L40" s="25"/>
      <c r="M40" s="25"/>
      <c r="R40" s="1"/>
      <c r="S40" s="25"/>
    </row>
    <row r="41" spans="3:19">
      <c r="C41" s="18" t="s">
        <v>296</v>
      </c>
      <c r="D41" s="58">
        <f t="shared" ref="D41" si="12">IMABS(C41)</f>
        <v>6.6766412630303185</v>
      </c>
      <c r="E41" s="130" t="str">
        <f t="shared" si="1"/>
        <v>6.63209842456169-0.650160440172577i</v>
      </c>
      <c r="F41" s="58">
        <f t="shared" si="2"/>
        <v>6.6638906136759974</v>
      </c>
      <c r="G41" s="1" t="str">
        <f t="shared" si="3"/>
        <v>8.5</v>
      </c>
      <c r="H41" t="str">
        <f t="shared" si="4"/>
        <v>26-12.0084138698206i</v>
      </c>
      <c r="I41" s="1">
        <v>275</v>
      </c>
      <c r="J41" s="25">
        <v>21</v>
      </c>
      <c r="K41" s="25">
        <v>9</v>
      </c>
      <c r="L41" s="25"/>
      <c r="M41" s="25"/>
      <c r="R41" s="1"/>
      <c r="S41" s="25"/>
    </row>
    <row r="42" spans="3:19">
      <c r="C42" s="18" t="s">
        <v>297</v>
      </c>
      <c r="D42" s="58">
        <f t="shared" ref="D42" si="13">IMABS(C42)</f>
        <v>6.6435335114680685</v>
      </c>
      <c r="E42" s="130" t="str">
        <f t="shared" si="1"/>
        <v>6.58450501327083-0.585076156737732i</v>
      </c>
      <c r="F42" s="58">
        <f t="shared" si="2"/>
        <v>6.6104478198509122</v>
      </c>
      <c r="G42" s="1" t="str">
        <f t="shared" si="3"/>
        <v>8.5</v>
      </c>
      <c r="H42" t="str">
        <f t="shared" si="4"/>
        <v>26-10.537812704965i</v>
      </c>
      <c r="I42" s="1">
        <v>300</v>
      </c>
      <c r="J42" s="25">
        <v>16</v>
      </c>
      <c r="K42" s="25">
        <v>12</v>
      </c>
      <c r="L42" s="25"/>
      <c r="M42" s="25"/>
      <c r="R42" s="1"/>
      <c r="S42" s="25"/>
    </row>
    <row r="43" spans="3:19">
      <c r="C43" s="18" t="s">
        <v>298</v>
      </c>
      <c r="D43" s="58">
        <f t="shared" ref="D43" si="14">IMABS(C43)</f>
        <v>6.4200860877930701</v>
      </c>
      <c r="E43" s="130" t="str">
        <f t="shared" si="1"/>
        <v>6.49236324033403-0.416885311047694i</v>
      </c>
      <c r="F43" s="58">
        <f t="shared" si="2"/>
        <v>6.5057339176305025</v>
      </c>
      <c r="G43" s="1" t="str">
        <f t="shared" si="3"/>
        <v>8.5</v>
      </c>
      <c r="H43" t="str">
        <f t="shared" si="4"/>
        <v>26-7.16391705914873i</v>
      </c>
      <c r="I43" s="1">
        <v>500</v>
      </c>
      <c r="J43" s="25">
        <v>1.1100000000000001</v>
      </c>
      <c r="K43" s="25">
        <v>89</v>
      </c>
      <c r="L43" s="25"/>
      <c r="M43" s="25"/>
      <c r="R43" s="1"/>
      <c r="S43" s="25"/>
    </row>
    <row r="44" spans="3:19">
      <c r="C44" s="18" t="s">
        <v>299</v>
      </c>
      <c r="D44" s="58">
        <f t="shared" ref="D44" si="15">IMABS(C44)</f>
        <v>6.1065623681495467</v>
      </c>
      <c r="E44" s="130" t="str">
        <f t="shared" si="1"/>
        <v>6.41866390929511-0.163646422330788i</v>
      </c>
      <c r="F44" s="58">
        <f t="shared" si="2"/>
        <v>6.420749686137067</v>
      </c>
      <c r="G44" s="1" t="str">
        <f t="shared" si="3"/>
        <v>8.5</v>
      </c>
      <c r="H44" t="str">
        <f t="shared" si="4"/>
        <v>26-2.71258524542282i</v>
      </c>
      <c r="I44" s="1">
        <v>1000</v>
      </c>
      <c r="J44" s="25">
        <v>0.23</v>
      </c>
      <c r="K44" s="25">
        <v>109.7</v>
      </c>
      <c r="L44" s="25"/>
      <c r="R44" s="1"/>
      <c r="S44" s="25"/>
    </row>
    <row r="45" spans="3:19" ht="15.75" thickBot="1"/>
    <row r="46" spans="3:19" ht="15.75" thickTop="1">
      <c r="H46" s="134" t="s">
        <v>314</v>
      </c>
      <c r="I46" s="135" t="s">
        <v>315</v>
      </c>
    </row>
    <row r="47" spans="3:19" ht="15.75" thickBot="1">
      <c r="H47" s="136">
        <v>8.5</v>
      </c>
      <c r="I47" s="137">
        <v>26</v>
      </c>
    </row>
    <row r="48" spans="3:19" ht="19.5" thickTop="1">
      <c r="E48" s="129" t="s">
        <v>303</v>
      </c>
    </row>
    <row r="49" spans="3:13">
      <c r="C49" s="1" t="s">
        <v>300</v>
      </c>
      <c r="E49" t="s">
        <v>33</v>
      </c>
      <c r="F49" s="1" t="s">
        <v>304</v>
      </c>
      <c r="G49" s="1" t="s">
        <v>305</v>
      </c>
      <c r="H49" s="1" t="s">
        <v>306</v>
      </c>
      <c r="I49" s="1"/>
    </row>
    <row r="50" spans="3:13">
      <c r="C50" s="18" t="s">
        <v>248</v>
      </c>
      <c r="E50" s="1">
        <v>50</v>
      </c>
      <c r="F50" s="1">
        <f>IMREAL(C50)</f>
        <v>7.0545996253745198</v>
      </c>
      <c r="G50" s="1">
        <f>IMREAL(C33)</f>
        <v>6.9577059793284501</v>
      </c>
      <c r="H50" s="1">
        <f>IMREAL(E33)</f>
        <v>7.3021487529396802</v>
      </c>
      <c r="I50" s="1"/>
    </row>
    <row r="51" spans="3:13">
      <c r="C51" s="18" t="s">
        <v>249</v>
      </c>
      <c r="E51" s="1">
        <v>75</v>
      </c>
      <c r="F51" s="1">
        <f t="shared" ref="F51:F61" si="16">IMREAL(C51)</f>
        <v>6.9745392332820302</v>
      </c>
      <c r="G51" s="1">
        <f t="shared" ref="G51:G61" si="17">IMREAL(C34)</f>
        <v>6.9202410175336002</v>
      </c>
      <c r="H51" s="1">
        <f t="shared" ref="H51:H61" si="18">IMREAL(E34)</f>
        <v>7.0659423329034903</v>
      </c>
      <c r="I51" s="1"/>
    </row>
    <row r="52" spans="3:13">
      <c r="C52" s="18" t="s">
        <v>250</v>
      </c>
      <c r="E52" s="1">
        <v>100</v>
      </c>
      <c r="F52" s="1">
        <f t="shared" si="16"/>
        <v>6.8785685092368798</v>
      </c>
      <c r="G52" s="1">
        <f t="shared" si="17"/>
        <v>6.8833101392789002</v>
      </c>
      <c r="H52" s="1">
        <f t="shared" si="18"/>
        <v>6.9113486416960104</v>
      </c>
      <c r="I52" s="1"/>
    </row>
    <row r="53" spans="3:13">
      <c r="C53" s="18" t="s">
        <v>251</v>
      </c>
      <c r="E53" s="1">
        <v>125</v>
      </c>
      <c r="F53" s="1">
        <f t="shared" si="16"/>
        <v>6.8453729049017298</v>
      </c>
      <c r="G53" s="1">
        <f t="shared" si="17"/>
        <v>6.8470103521378798</v>
      </c>
      <c r="H53" s="1">
        <f t="shared" si="18"/>
        <v>6.8255954363758997</v>
      </c>
      <c r="I53" s="1"/>
    </row>
    <row r="54" spans="3:13">
      <c r="C54" s="18" t="s">
        <v>252</v>
      </c>
      <c r="E54" s="1">
        <v>150</v>
      </c>
      <c r="F54" s="1">
        <f t="shared" si="16"/>
        <v>6.7932159421220302</v>
      </c>
      <c r="G54" s="1">
        <f t="shared" si="17"/>
        <v>6.8114222223244996</v>
      </c>
      <c r="H54" s="1">
        <f t="shared" si="18"/>
        <v>6.81029424440821</v>
      </c>
      <c r="I54" s="1"/>
    </row>
    <row r="55" spans="3:13">
      <c r="C55" s="18" t="s">
        <v>253</v>
      </c>
      <c r="E55" s="1">
        <v>175</v>
      </c>
      <c r="F55" s="1">
        <f t="shared" si="16"/>
        <v>6.7401999262074499</v>
      </c>
      <c r="G55" s="1">
        <f t="shared" si="17"/>
        <v>6.7766117909248003</v>
      </c>
      <c r="H55" s="1">
        <f t="shared" si="18"/>
        <v>6.7834867732767101</v>
      </c>
      <c r="I55" s="1"/>
    </row>
    <row r="56" spans="3:13">
      <c r="C56" s="18" t="s">
        <v>254</v>
      </c>
      <c r="E56" s="1">
        <v>200</v>
      </c>
      <c r="F56" s="1">
        <f t="shared" si="16"/>
        <v>6.6683457071480596</v>
      </c>
      <c r="G56" s="1">
        <f t="shared" si="17"/>
        <v>6.7426322906258402</v>
      </c>
      <c r="H56" s="1">
        <f t="shared" si="18"/>
        <v>6.7404728348657903</v>
      </c>
      <c r="I56" s="1"/>
    </row>
    <row r="57" spans="3:13">
      <c r="C57" s="18" t="s">
        <v>255</v>
      </c>
      <c r="E57" s="1">
        <v>250</v>
      </c>
      <c r="F57" s="1">
        <f t="shared" si="16"/>
        <v>6.6087888700536697</v>
      </c>
      <c r="G57" s="1">
        <f t="shared" si="17"/>
        <v>6.6773240325836101</v>
      </c>
      <c r="H57" s="1">
        <f t="shared" si="18"/>
        <v>6.6550961580982699</v>
      </c>
      <c r="I57" s="1"/>
    </row>
    <row r="58" spans="3:13">
      <c r="C58" s="18" t="s">
        <v>256</v>
      </c>
      <c r="E58" s="1">
        <v>275</v>
      </c>
      <c r="F58" s="1">
        <f t="shared" si="16"/>
        <v>6.5712217864283904</v>
      </c>
      <c r="G58" s="1">
        <f t="shared" si="17"/>
        <v>6.6460507388692296</v>
      </c>
      <c r="H58" s="1">
        <f t="shared" si="18"/>
        <v>6.6320984245616899</v>
      </c>
      <c r="I58" s="1"/>
    </row>
    <row r="59" spans="3:13">
      <c r="C59" s="18" t="s">
        <v>257</v>
      </c>
      <c r="E59" s="1">
        <v>300</v>
      </c>
      <c r="F59" s="1">
        <f t="shared" si="16"/>
        <v>6.4079203885478497</v>
      </c>
      <c r="G59" s="1">
        <f t="shared" si="17"/>
        <v>6.6157216325129404</v>
      </c>
      <c r="H59" s="1">
        <f t="shared" si="18"/>
        <v>6.5845050132708298</v>
      </c>
      <c r="I59" s="1"/>
    </row>
    <row r="60" spans="3:13">
      <c r="C60" s="18" t="s">
        <v>258</v>
      </c>
      <c r="E60" s="1">
        <v>500</v>
      </c>
      <c r="F60" s="1">
        <f t="shared" si="16"/>
        <v>6.1680900314012401</v>
      </c>
      <c r="G60" s="1">
        <f t="shared" si="17"/>
        <v>6.4071685376218896</v>
      </c>
      <c r="H60" s="1">
        <f t="shared" si="18"/>
        <v>6.4923632403340301</v>
      </c>
      <c r="I60" s="1"/>
    </row>
    <row r="61" spans="3:13">
      <c r="C61" s="18" t="s">
        <v>259</v>
      </c>
      <c r="E61" s="1">
        <v>1000</v>
      </c>
      <c r="F61" s="1">
        <f t="shared" si="16"/>
        <v>6.0642714453508502</v>
      </c>
      <c r="G61" s="1">
        <f t="shared" si="17"/>
        <v>6.1047259844789901</v>
      </c>
      <c r="H61" s="1">
        <f t="shared" si="18"/>
        <v>6.4186639092951099</v>
      </c>
      <c r="I61" s="1"/>
    </row>
    <row r="62" spans="3:13">
      <c r="F62" s="1"/>
      <c r="G62" s="1"/>
      <c r="H62" s="1"/>
      <c r="I62" s="1"/>
      <c r="M62" t="s">
        <v>308</v>
      </c>
    </row>
    <row r="63" spans="3:13">
      <c r="F63" s="1"/>
      <c r="G63" s="1"/>
      <c r="H63" s="1"/>
      <c r="I63" s="1"/>
      <c r="M63" t="s">
        <v>309</v>
      </c>
    </row>
    <row r="64" spans="3:13" ht="18.75">
      <c r="E64" s="129" t="s">
        <v>307</v>
      </c>
      <c r="M64" s="128" t="s">
        <v>310</v>
      </c>
    </row>
    <row r="65" spans="5:13">
      <c r="E65" s="1" t="s">
        <v>33</v>
      </c>
      <c r="F65" s="1" t="s">
        <v>304</v>
      </c>
      <c r="G65" s="1" t="s">
        <v>305</v>
      </c>
      <c r="H65" s="1" t="s">
        <v>306</v>
      </c>
      <c r="I65" s="1"/>
    </row>
    <row r="66" spans="5:13">
      <c r="E66" s="1">
        <v>50</v>
      </c>
      <c r="F66" s="1">
        <f>-IMAGINARY(C50)</f>
        <v>1.13078733711902</v>
      </c>
      <c r="G66" s="1">
        <f>-IMAGINARY(C33)</f>
        <v>1.00120260305679</v>
      </c>
      <c r="H66" s="1">
        <f>-IMAGINARY(E33)</f>
        <v>1.0361930049669099</v>
      </c>
      <c r="I66" s="1"/>
      <c r="M66" t="s">
        <v>316</v>
      </c>
    </row>
    <row r="67" spans="5:13">
      <c r="E67" s="1">
        <v>75</v>
      </c>
      <c r="F67" s="1">
        <f t="shared" ref="F67:F77" si="19">-IMAGINARY(C51)</f>
        <v>0.86875453736268804</v>
      </c>
      <c r="G67" s="1">
        <f t="shared" ref="G67:G77" si="20">-IMAGINARY(C34)</f>
        <v>0.95237337591432603</v>
      </c>
      <c r="H67" s="1">
        <f t="shared" ref="H67:H77" si="21">-IMAGINARY(E34)</f>
        <v>0.97297807301301098</v>
      </c>
      <c r="I67" s="1"/>
      <c r="M67" s="128" t="s">
        <v>301</v>
      </c>
    </row>
    <row r="68" spans="5:13">
      <c r="E68" s="1">
        <v>100</v>
      </c>
      <c r="F68" s="1">
        <f t="shared" si="19"/>
        <v>0.83212575004522704</v>
      </c>
      <c r="G68" s="1">
        <f t="shared" si="20"/>
        <v>0.90592557828078701</v>
      </c>
      <c r="H68" s="1">
        <f t="shared" si="21"/>
        <v>0.89618365367018304</v>
      </c>
      <c r="I68" s="1"/>
      <c r="M68" s="128" t="s">
        <v>317</v>
      </c>
    </row>
    <row r="69" spans="5:13">
      <c r="E69" s="1">
        <v>125</v>
      </c>
      <c r="F69" s="1">
        <f t="shared" si="19"/>
        <v>0.60615038287988798</v>
      </c>
      <c r="G69" s="1">
        <f t="shared" si="20"/>
        <v>0.86174306646850996</v>
      </c>
      <c r="H69" s="1">
        <f t="shared" si="21"/>
        <v>0.838398621064535</v>
      </c>
      <c r="I69" s="1"/>
      <c r="M69" s="128" t="s">
        <v>324</v>
      </c>
    </row>
    <row r="70" spans="5:13">
      <c r="E70" s="1">
        <v>150</v>
      </c>
      <c r="F70" s="1">
        <f t="shared" si="19"/>
        <v>0.85222140560210902</v>
      </c>
      <c r="G70" s="1">
        <f t="shared" si="20"/>
        <v>0.81971536118432098</v>
      </c>
      <c r="H70" s="1">
        <f t="shared" si="21"/>
        <v>0.82672918817358199</v>
      </c>
      <c r="I70" s="138" t="s">
        <v>318</v>
      </c>
    </row>
    <row r="71" spans="5:13">
      <c r="E71" s="1">
        <v>175</v>
      </c>
      <c r="F71" s="1">
        <f t="shared" si="19"/>
        <v>0.69812066475987</v>
      </c>
      <c r="G71" s="1">
        <f t="shared" si="20"/>
        <v>0.77973737127375597</v>
      </c>
      <c r="H71" s="1">
        <f t="shared" si="21"/>
        <v>0.80517657522343</v>
      </c>
      <c r="I71" s="138" t="s">
        <v>319</v>
      </c>
    </row>
    <row r="72" spans="5:13">
      <c r="E72" s="1">
        <v>200</v>
      </c>
      <c r="F72" s="1">
        <f t="shared" si="19"/>
        <v>0.74241695546951203</v>
      </c>
      <c r="G72" s="1">
        <f t="shared" si="20"/>
        <v>0.74170913093843505</v>
      </c>
      <c r="H72" s="1">
        <f t="shared" si="21"/>
        <v>0.76737933543818104</v>
      </c>
      <c r="I72" s="138" t="s">
        <v>320</v>
      </c>
    </row>
    <row r="73" spans="5:13">
      <c r="E73" s="1">
        <v>250</v>
      </c>
      <c r="F73" s="1">
        <f t="shared" si="19"/>
        <v>0.89134661217045197</v>
      </c>
      <c r="G73" s="1">
        <f t="shared" si="20"/>
        <v>0.67112617497202898</v>
      </c>
      <c r="H73" s="1">
        <f t="shared" si="21"/>
        <v>0.67818344671199104</v>
      </c>
      <c r="I73" s="138" t="s">
        <v>321</v>
      </c>
    </row>
    <row r="74" spans="5:13">
      <c r="E74" s="1">
        <v>275</v>
      </c>
      <c r="F74" s="1">
        <f t="shared" si="19"/>
        <v>0.54583915560483898</v>
      </c>
      <c r="G74" s="1">
        <f t="shared" si="20"/>
        <v>0.63839496518600802</v>
      </c>
      <c r="H74" s="1">
        <f t="shared" si="21"/>
        <v>0.65016044017257701</v>
      </c>
      <c r="I74" s="1"/>
    </row>
    <row r="75" spans="5:13">
      <c r="E75" s="1">
        <v>300</v>
      </c>
      <c r="F75" s="1">
        <f t="shared" si="19"/>
        <v>0.44150422239369103</v>
      </c>
      <c r="G75" s="1">
        <f t="shared" si="20"/>
        <v>0.60726007533804005</v>
      </c>
      <c r="H75" s="1">
        <f t="shared" si="21"/>
        <v>0.58507615673773194</v>
      </c>
      <c r="I75" s="1"/>
      <c r="M75" s="128" t="s">
        <v>322</v>
      </c>
    </row>
    <row r="76" spans="5:13">
      <c r="E76" s="1">
        <v>500</v>
      </c>
      <c r="F76" s="1">
        <f t="shared" si="19"/>
        <v>0.17808509552850599</v>
      </c>
      <c r="G76" s="1">
        <f t="shared" si="20"/>
        <v>0.407058601656201</v>
      </c>
      <c r="H76" s="1">
        <f t="shared" si="21"/>
        <v>0.416885311047694</v>
      </c>
      <c r="I76" s="1"/>
    </row>
    <row r="77" spans="5:13">
      <c r="E77" s="1">
        <v>1000</v>
      </c>
      <c r="F77" s="1">
        <f t="shared" si="19"/>
        <v>0.18714247460365599</v>
      </c>
      <c r="G77" s="1">
        <f t="shared" si="20"/>
        <v>0.14974849090131201</v>
      </c>
      <c r="H77" s="1">
        <f t="shared" si="21"/>
        <v>0.16364642233078799</v>
      </c>
      <c r="I77" s="1"/>
      <c r="M77" s="128" t="s">
        <v>323</v>
      </c>
    </row>
  </sheetData>
  <mergeCells count="1">
    <mergeCell ref="G31:H31"/>
  </mergeCells>
  <hyperlinks>
    <hyperlink ref="E23" r:id="rId1"/>
    <hyperlink ref="M64" r:id="rId2"/>
    <hyperlink ref="M67" r:id="rId3"/>
    <hyperlink ref="M68" r:id="rId4"/>
    <hyperlink ref="M75" r:id="rId5"/>
    <hyperlink ref="M77" r:id="rId6"/>
    <hyperlink ref="M69" r:id="rId7"/>
  </hyperlinks>
  <pageMargins left="0.7" right="0.7" top="0.75" bottom="0.75" header="0.3" footer="0.3"/>
  <pageSetup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52"/>
  <sheetViews>
    <sheetView topLeftCell="A12" workbookViewId="0">
      <selection activeCell="F27" sqref="F27"/>
    </sheetView>
  </sheetViews>
  <sheetFormatPr defaultRowHeight="15"/>
  <cols>
    <col min="6" max="6" width="12" bestFit="1" customWidth="1"/>
  </cols>
  <sheetData>
    <row r="3" spans="2:2" ht="21">
      <c r="B3" s="151" t="s">
        <v>330</v>
      </c>
    </row>
    <row r="4" spans="2:2" ht="21">
      <c r="B4" s="152" t="s">
        <v>331</v>
      </c>
    </row>
    <row r="23" spans="4:15">
      <c r="J23" t="s">
        <v>332</v>
      </c>
    </row>
    <row r="24" spans="4:15" ht="18">
      <c r="E24" s="153" t="s">
        <v>333</v>
      </c>
      <c r="F24">
        <f>4*PI()/10000000</f>
        <v>1.2566370614359173E-6</v>
      </c>
      <c r="J24" t="s">
        <v>334</v>
      </c>
      <c r="O24">
        <f>0.317*0.024</f>
        <v>7.6080000000000002E-3</v>
      </c>
    </row>
    <row r="25" spans="4:15">
      <c r="E25" t="s">
        <v>335</v>
      </c>
      <c r="F25">
        <v>1000</v>
      </c>
      <c r="O25">
        <f>SQRT(0.317*0.024/PI())</f>
        <v>4.9210787578398696E-2</v>
      </c>
    </row>
    <row r="26" spans="4:15">
      <c r="E26" t="s">
        <v>336</v>
      </c>
      <c r="F26" s="154">
        <v>1.595</v>
      </c>
    </row>
    <row r="27" spans="4:15">
      <c r="E27" t="s">
        <v>337</v>
      </c>
      <c r="F27">
        <f>SQRT(0.007608/PI())</f>
        <v>4.9210787578398696E-2</v>
      </c>
      <c r="H27" t="s">
        <v>338</v>
      </c>
    </row>
    <row r="28" spans="4:15">
      <c r="E28" t="s">
        <v>178</v>
      </c>
      <c r="F28">
        <v>0</v>
      </c>
      <c r="H28" t="s">
        <v>339</v>
      </c>
    </row>
    <row r="29" spans="4:15" ht="15.75" thickBot="1"/>
    <row r="30" spans="4:15">
      <c r="D30" s="155"/>
      <c r="E30" s="156"/>
      <c r="F30" s="156"/>
      <c r="G30" s="156"/>
      <c r="H30" s="156"/>
      <c r="I30" s="156"/>
      <c r="J30" s="156"/>
      <c r="K30" s="156"/>
      <c r="L30" s="156"/>
      <c r="M30" s="157"/>
    </row>
    <row r="31" spans="4:15">
      <c r="D31" s="158"/>
      <c r="E31" s="29" t="s">
        <v>340</v>
      </c>
      <c r="F31" s="29">
        <f>(F25*LN(2*F25/F27)+F26*LN(2*F26/F27)+2*SQRT(F25^2+F26^2)-F25*ASINH(F25/F26)-F26*ASINH(F26/F25)-(2-F28/4)*(F25+F26))*F24/PI()*1000</f>
        <v>1.3927917292186851</v>
      </c>
      <c r="G31" s="29"/>
      <c r="H31" s="29"/>
      <c r="I31" s="159" t="s">
        <v>341</v>
      </c>
      <c r="J31" s="29"/>
      <c r="K31" s="29"/>
      <c r="L31" s="29">
        <f>[1]Terman!Q22</f>
        <v>1.2970986151741715</v>
      </c>
      <c r="M31" s="160" t="s">
        <v>279</v>
      </c>
    </row>
    <row r="32" spans="4:15">
      <c r="D32" s="158"/>
      <c r="E32" s="29" t="s">
        <v>342</v>
      </c>
      <c r="F32" s="29"/>
      <c r="G32" s="29"/>
      <c r="H32" s="29"/>
      <c r="I32" s="159"/>
      <c r="J32" s="29"/>
      <c r="K32" s="29"/>
      <c r="L32" s="29"/>
      <c r="M32" s="160"/>
    </row>
    <row r="33" spans="4:13">
      <c r="D33" s="158"/>
      <c r="E33" s="29"/>
      <c r="F33" s="29"/>
      <c r="G33" s="29"/>
      <c r="H33" s="29"/>
      <c r="I33" s="18"/>
      <c r="J33" s="29"/>
      <c r="K33" s="29"/>
      <c r="L33" s="29"/>
      <c r="M33" s="160"/>
    </row>
    <row r="34" spans="4:13" ht="15.75" thickBot="1">
      <c r="D34" s="161"/>
      <c r="E34" s="162"/>
      <c r="F34" s="162"/>
      <c r="G34" s="162"/>
      <c r="H34" s="162"/>
      <c r="I34" s="162"/>
      <c r="J34" s="162"/>
      <c r="K34" s="162"/>
      <c r="L34" s="162"/>
      <c r="M34" s="163"/>
    </row>
    <row r="52" spans="11:11">
      <c r="K52" t="s">
        <v>343</v>
      </c>
    </row>
  </sheetData>
  <hyperlinks>
    <hyperlink ref="B4" r:id="rId1" location="Mutual_inductanc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102"/>
  <sheetViews>
    <sheetView topLeftCell="L1" zoomScaleNormal="100" workbookViewId="0">
      <selection activeCell="M113" sqref="M113"/>
    </sheetView>
  </sheetViews>
  <sheetFormatPr defaultRowHeight="15"/>
  <cols>
    <col min="2" max="2" width="14.140625" customWidth="1"/>
    <col min="3" max="7" width="12.85546875" customWidth="1"/>
    <col min="9" max="9" width="14.85546875" customWidth="1"/>
    <col min="10" max="23" width="14.7109375" customWidth="1"/>
    <col min="25" max="25" width="11" bestFit="1" customWidth="1"/>
    <col min="34" max="34" width="15.42578125" bestFit="1" customWidth="1"/>
  </cols>
  <sheetData>
    <row r="2" spans="1:34">
      <c r="I2" s="26" t="s">
        <v>344</v>
      </c>
      <c r="J2" t="s">
        <v>345</v>
      </c>
      <c r="K2" t="s">
        <v>346</v>
      </c>
      <c r="L2" t="s">
        <v>347</v>
      </c>
      <c r="M2" t="s">
        <v>348</v>
      </c>
      <c r="N2" t="s">
        <v>349</v>
      </c>
      <c r="O2" t="s">
        <v>350</v>
      </c>
      <c r="P2" t="s">
        <v>351</v>
      </c>
      <c r="Q2" t="s">
        <v>352</v>
      </c>
      <c r="R2" t="s">
        <v>353</v>
      </c>
      <c r="S2" t="s">
        <v>354</v>
      </c>
      <c r="T2" t="s">
        <v>355</v>
      </c>
      <c r="U2" t="s">
        <v>356</v>
      </c>
      <c r="V2" t="s">
        <v>357</v>
      </c>
      <c r="W2" t="s">
        <v>358</v>
      </c>
      <c r="AH2" t="s">
        <v>359</v>
      </c>
    </row>
    <row r="3" spans="1:34">
      <c r="A3" s="42"/>
      <c r="I3" s="26" t="s">
        <v>360</v>
      </c>
      <c r="J3" s="38">
        <f>IMREAL(J2)</f>
        <v>0.78707454535232801</v>
      </c>
      <c r="K3" s="38">
        <f t="shared" ref="K3:W3" si="0">IMREAL(K2)</f>
        <v>0.89144595229513601</v>
      </c>
      <c r="L3" s="38">
        <f t="shared" si="0"/>
        <v>1.0528822461873999</v>
      </c>
      <c r="M3" s="38">
        <f t="shared" si="0"/>
        <v>1.15586356544001</v>
      </c>
      <c r="N3" s="38">
        <f t="shared" si="0"/>
        <v>1.27556707084357</v>
      </c>
      <c r="O3" s="38">
        <f t="shared" si="0"/>
        <v>1.3113236625142499</v>
      </c>
      <c r="P3" s="38">
        <f t="shared" si="0"/>
        <v>1.46994184192815</v>
      </c>
      <c r="Q3" s="38">
        <f t="shared" si="0"/>
        <v>1.5429779079566399</v>
      </c>
      <c r="R3" s="38">
        <f t="shared" si="0"/>
        <v>1.6512729120246099</v>
      </c>
      <c r="S3" s="38">
        <f t="shared" si="0"/>
        <v>1.6458756012334099</v>
      </c>
      <c r="T3" s="38">
        <f t="shared" si="0"/>
        <v>1.83243448967637</v>
      </c>
      <c r="U3" s="38">
        <f t="shared" si="0"/>
        <v>2.2621458472537199</v>
      </c>
      <c r="V3" s="38">
        <f t="shared" si="0"/>
        <v>2.62260332728478</v>
      </c>
      <c r="W3" s="38">
        <f t="shared" si="0"/>
        <v>2.7728195662793</v>
      </c>
      <c r="AH3" s="38">
        <f>IMREAL(AH2)</f>
        <v>3.5952414345160801</v>
      </c>
    </row>
    <row r="4" spans="1:34">
      <c r="A4" s="42">
        <v>1.4350000000000001</v>
      </c>
      <c r="B4" t="s">
        <v>361</v>
      </c>
      <c r="I4" s="26" t="s">
        <v>362</v>
      </c>
      <c r="J4" s="38">
        <f>IMAGINARY(J2)</f>
        <v>0.30542556592200598</v>
      </c>
      <c r="K4" s="38">
        <f t="shared" ref="K4:W4" si="1">IMAGINARY(K2)</f>
        <v>0.87744678979605795</v>
      </c>
      <c r="L4" s="38">
        <f t="shared" si="1"/>
        <v>1.226159312127</v>
      </c>
      <c r="M4" s="38">
        <f t="shared" si="1"/>
        <v>1.5179355737055999</v>
      </c>
      <c r="N4" s="38">
        <f t="shared" si="1"/>
        <v>1.8514675013987001</v>
      </c>
      <c r="O4" s="38">
        <f t="shared" si="1"/>
        <v>2.1797096133884599</v>
      </c>
      <c r="P4" s="38">
        <f t="shared" si="1"/>
        <v>2.4239335560834201</v>
      </c>
      <c r="Q4" s="38">
        <f t="shared" si="1"/>
        <v>2.7206947206312599</v>
      </c>
      <c r="R4" s="38">
        <f t="shared" si="1"/>
        <v>3.21433426511163</v>
      </c>
      <c r="S4" s="38">
        <f t="shared" si="1"/>
        <v>3.5337999694923101</v>
      </c>
      <c r="T4" s="38">
        <f t="shared" si="1"/>
        <v>3.7968055295964098</v>
      </c>
      <c r="U4" s="38">
        <f t="shared" si="1"/>
        <v>5.8465350336521</v>
      </c>
      <c r="V4" s="38">
        <f t="shared" si="1"/>
        <v>11.1344126141215</v>
      </c>
      <c r="W4" s="38">
        <f t="shared" si="1"/>
        <v>47.792715196363503</v>
      </c>
      <c r="AH4" s="38">
        <f>IMAGINARY(AH2)</f>
        <v>25.3154661961714</v>
      </c>
    </row>
    <row r="6" spans="1:34">
      <c r="A6" s="42">
        <v>1.52</v>
      </c>
      <c r="B6" t="s">
        <v>363</v>
      </c>
      <c r="W6" s="42"/>
    </row>
    <row r="7" spans="1:34" ht="15.75" thickBot="1">
      <c r="A7" s="42">
        <v>7.4999999999999956E-2</v>
      </c>
      <c r="B7" t="s">
        <v>364</v>
      </c>
      <c r="AH7" s="164" t="s">
        <v>365</v>
      </c>
    </row>
    <row r="8" spans="1:34" ht="15.75" thickBot="1">
      <c r="A8" s="165">
        <f>A6+A7</f>
        <v>1.595</v>
      </c>
      <c r="B8" s="166" t="s">
        <v>366</v>
      </c>
      <c r="C8" s="167"/>
      <c r="D8" s="167"/>
      <c r="E8" s="167"/>
      <c r="F8" s="167"/>
      <c r="G8" s="167"/>
      <c r="AH8" s="164"/>
    </row>
    <row r="9" spans="1:34">
      <c r="I9" s="168" t="s">
        <v>33</v>
      </c>
      <c r="J9" s="18">
        <v>20</v>
      </c>
      <c r="K9" s="18">
        <v>50</v>
      </c>
      <c r="L9" s="18">
        <v>75</v>
      </c>
      <c r="M9" s="18">
        <v>100</v>
      </c>
      <c r="N9" s="18">
        <v>125</v>
      </c>
      <c r="O9" s="18">
        <v>150</v>
      </c>
      <c r="P9" s="18">
        <v>175</v>
      </c>
      <c r="Q9" s="18">
        <v>200</v>
      </c>
      <c r="R9" s="18">
        <v>250</v>
      </c>
      <c r="S9" s="18">
        <v>275</v>
      </c>
      <c r="T9" s="18">
        <v>300</v>
      </c>
      <c r="U9" s="18">
        <v>500</v>
      </c>
      <c r="V9" s="18">
        <v>1000</v>
      </c>
      <c r="W9" s="169">
        <v>5000</v>
      </c>
      <c r="X9" s="18"/>
      <c r="Y9" s="18"/>
      <c r="Z9" s="18"/>
      <c r="AA9" s="18"/>
      <c r="AB9" s="18"/>
      <c r="AC9" s="18"/>
      <c r="AD9" s="18"/>
      <c r="AH9" s="164">
        <v>3000</v>
      </c>
    </row>
    <row r="10" spans="1:34" ht="18">
      <c r="I10" s="170" t="s">
        <v>367</v>
      </c>
      <c r="J10" s="171">
        <f t="shared" ref="J10:W10" si="2">(J4-J50)/J46</f>
        <v>1.1254880223583907</v>
      </c>
      <c r="K10" s="171">
        <f t="shared" si="2"/>
        <v>1.1821654273288376</v>
      </c>
      <c r="L10" s="171">
        <f t="shared" si="2"/>
        <v>1.138421223560518</v>
      </c>
      <c r="M10" s="171">
        <f t="shared" si="2"/>
        <v>1.1136093593798906</v>
      </c>
      <c r="N10" s="171">
        <f t="shared" si="2"/>
        <v>1.150146883030261</v>
      </c>
      <c r="O10" s="171">
        <f t="shared" si="2"/>
        <v>1.1757555304701706</v>
      </c>
      <c r="P10" s="171">
        <f t="shared" si="2"/>
        <v>1.1386856004625725</v>
      </c>
      <c r="Q10" s="171">
        <f t="shared" si="2"/>
        <v>1.145546172748882</v>
      </c>
      <c r="R10" s="171">
        <f t="shared" si="2"/>
        <v>1.1106031254456252</v>
      </c>
      <c r="S10" s="171">
        <f t="shared" si="2"/>
        <v>1.1319279375792155</v>
      </c>
      <c r="T10" s="171">
        <f t="shared" si="2"/>
        <v>1.1274155058443647</v>
      </c>
      <c r="U10" s="171">
        <f t="shared" si="2"/>
        <v>1.1064580901663079</v>
      </c>
      <c r="V10" s="171">
        <f t="shared" si="2"/>
        <v>1.1356838214064133</v>
      </c>
      <c r="W10" s="171">
        <f t="shared" si="2"/>
        <v>1.0870797498737306</v>
      </c>
      <c r="X10" s="18"/>
      <c r="Y10" s="18" t="s">
        <v>368</v>
      </c>
      <c r="Z10" s="18"/>
      <c r="AA10" s="18"/>
      <c r="AB10" s="18"/>
      <c r="AC10" s="18"/>
      <c r="AD10" s="18"/>
      <c r="AH10" s="172">
        <f>(AH4-AH44)/AH39</f>
        <v>0.9121483184987792</v>
      </c>
    </row>
    <row r="11" spans="1:34">
      <c r="I11" s="170" t="s">
        <v>369</v>
      </c>
      <c r="J11" s="39">
        <f t="shared" ref="J11:W11" si="3">J58/(J3-J57)</f>
        <v>0.27169932204494823</v>
      </c>
      <c r="K11" s="39">
        <f t="shared" si="3"/>
        <v>0.64017001713121324</v>
      </c>
      <c r="L11" s="39">
        <f t="shared" si="3"/>
        <v>0.71677639644403623</v>
      </c>
      <c r="M11" s="39">
        <f t="shared" si="3"/>
        <v>0.77536429816647312</v>
      </c>
      <c r="N11" s="39">
        <f t="shared" si="3"/>
        <v>0.79366251490761464</v>
      </c>
      <c r="O11" s="39">
        <f t="shared" si="3"/>
        <v>0.87734335605311731</v>
      </c>
      <c r="P11" s="39">
        <f t="shared" si="3"/>
        <v>0.83143928974053627</v>
      </c>
      <c r="Q11" s="39">
        <f t="shared" si="3"/>
        <v>0.85760489645465987</v>
      </c>
      <c r="R11" s="39">
        <f t="shared" si="3"/>
        <v>0.9235218271643505</v>
      </c>
      <c r="S11" s="39">
        <f t="shared" si="3"/>
        <v>1.0059009120294582</v>
      </c>
      <c r="T11" s="39">
        <f t="shared" si="3"/>
        <v>0.90834551131113994</v>
      </c>
      <c r="U11" s="39">
        <f t="shared" si="3"/>
        <v>0.98666310142597013</v>
      </c>
      <c r="V11" s="39">
        <f t="shared" si="3"/>
        <v>1.4114230633834908</v>
      </c>
      <c r="W11" s="39">
        <f t="shared" si="3"/>
        <v>9.0475840201294861</v>
      </c>
      <c r="X11" s="18"/>
      <c r="Y11" s="18" t="s">
        <v>370</v>
      </c>
      <c r="Z11" s="18"/>
      <c r="AA11" s="18"/>
      <c r="AB11" s="18"/>
      <c r="AC11" s="18"/>
      <c r="AD11" s="18"/>
      <c r="AH11" s="173">
        <f>AH52/(AH3-AH51)</f>
        <v>-2.7743890599432244</v>
      </c>
    </row>
    <row r="12" spans="1:34" ht="18">
      <c r="I12" s="174" t="s">
        <v>371</v>
      </c>
      <c r="J12" s="111">
        <f>J27*J11</f>
        <v>55.446797207873438</v>
      </c>
      <c r="K12" s="111">
        <f t="shared" ref="K12:W12" si="4">K27*K11</f>
        <v>137.02410269587014</v>
      </c>
      <c r="L12" s="111">
        <f t="shared" si="4"/>
        <v>156.99513372160567</v>
      </c>
      <c r="M12" s="111">
        <f t="shared" si="4"/>
        <v>172.65714656552328</v>
      </c>
      <c r="N12" s="111">
        <f t="shared" si="4"/>
        <v>178.98736393732577</v>
      </c>
      <c r="O12" s="111">
        <f t="shared" si="4"/>
        <v>199.87458556702273</v>
      </c>
      <c r="P12" s="111">
        <f t="shared" si="4"/>
        <v>190.99938118956601</v>
      </c>
      <c r="Q12" s="111">
        <f t="shared" si="4"/>
        <v>198.38655553208872</v>
      </c>
      <c r="R12" s="111">
        <f t="shared" si="4"/>
        <v>215.99202923919907</v>
      </c>
      <c r="S12" s="111">
        <f t="shared" si="4"/>
        <v>236.29091439355108</v>
      </c>
      <c r="T12" s="111">
        <f t="shared" si="4"/>
        <v>214.18824581838246</v>
      </c>
      <c r="U12" s="111">
        <f t="shared" si="4"/>
        <v>236.75358443393324</v>
      </c>
      <c r="V12" s="111">
        <f t="shared" si="4"/>
        <v>338.89740458809666</v>
      </c>
      <c r="W12" s="111">
        <f t="shared" si="4"/>
        <v>1493.4557296391647</v>
      </c>
      <c r="Z12" s="18"/>
      <c r="AA12" s="18"/>
      <c r="AB12" s="18" t="s">
        <v>372</v>
      </c>
      <c r="AC12" s="18"/>
      <c r="AD12" s="18"/>
    </row>
    <row r="13" spans="1:34">
      <c r="I13" s="174"/>
      <c r="J13" s="111"/>
      <c r="K13" s="111"/>
      <c r="L13" s="111"/>
      <c r="M13" s="111"/>
      <c r="N13" s="111"/>
      <c r="O13" s="111"/>
      <c r="P13" s="111"/>
      <c r="Q13" s="111"/>
      <c r="R13" s="111"/>
      <c r="S13" s="111"/>
      <c r="T13" s="111"/>
      <c r="U13" s="111"/>
      <c r="V13" s="111"/>
      <c r="W13" s="111"/>
      <c r="AH13" s="175"/>
    </row>
    <row r="14" spans="1:34">
      <c r="I14" s="174"/>
      <c r="J14" s="111"/>
      <c r="K14" s="111"/>
      <c r="L14" s="111"/>
      <c r="M14" s="111"/>
      <c r="N14" s="111"/>
      <c r="O14" s="111"/>
      <c r="P14" s="111"/>
      <c r="Q14" s="111"/>
      <c r="R14" s="111"/>
      <c r="S14" s="111"/>
      <c r="T14" s="111"/>
      <c r="U14" s="111"/>
      <c r="V14" s="111"/>
      <c r="W14" s="111"/>
      <c r="AH14" s="175"/>
    </row>
    <row r="15" spans="1:34" ht="18">
      <c r="I15" s="176" t="s">
        <v>373</v>
      </c>
      <c r="J15" s="111">
        <f t="shared" ref="J15:AH15" si="5">4*PI()/10000000</f>
        <v>1.2566370614359173E-6</v>
      </c>
      <c r="K15" s="111">
        <f t="shared" si="5"/>
        <v>1.2566370614359173E-6</v>
      </c>
      <c r="L15" s="111">
        <f t="shared" si="5"/>
        <v>1.2566370614359173E-6</v>
      </c>
      <c r="M15" s="111">
        <f t="shared" si="5"/>
        <v>1.2566370614359173E-6</v>
      </c>
      <c r="N15" s="111">
        <f t="shared" si="5"/>
        <v>1.2566370614359173E-6</v>
      </c>
      <c r="O15" s="111">
        <f t="shared" si="5"/>
        <v>1.2566370614359173E-6</v>
      </c>
      <c r="P15" s="111">
        <f t="shared" si="5"/>
        <v>1.2566370614359173E-6</v>
      </c>
      <c r="Q15" s="111">
        <f t="shared" si="5"/>
        <v>1.2566370614359173E-6</v>
      </c>
      <c r="R15" s="111">
        <f t="shared" si="5"/>
        <v>1.2566370614359173E-6</v>
      </c>
      <c r="S15" s="111">
        <f t="shared" si="5"/>
        <v>1.2566370614359173E-6</v>
      </c>
      <c r="T15" s="111">
        <f t="shared" si="5"/>
        <v>1.2566370614359173E-6</v>
      </c>
      <c r="U15" s="111">
        <f t="shared" si="5"/>
        <v>1.2566370614359173E-6</v>
      </c>
      <c r="V15" s="111">
        <f t="shared" si="5"/>
        <v>1.2566370614359173E-6</v>
      </c>
      <c r="W15" s="111">
        <f>4*PI()/10000000</f>
        <v>1.2566370614359173E-6</v>
      </c>
      <c r="Y15" t="s">
        <v>374</v>
      </c>
      <c r="AH15" s="175">
        <f t="shared" si="5"/>
        <v>1.2566370614359173E-6</v>
      </c>
    </row>
    <row r="16" spans="1:34">
      <c r="J16" s="111"/>
      <c r="K16" s="111"/>
      <c r="L16" s="111"/>
      <c r="M16" s="111"/>
      <c r="N16" s="111"/>
      <c r="O16" s="111"/>
      <c r="P16" s="111"/>
      <c r="Q16" s="111"/>
      <c r="R16" s="111"/>
      <c r="S16" s="111"/>
      <c r="T16" s="111"/>
      <c r="U16" s="111"/>
      <c r="V16" s="111"/>
      <c r="W16" s="111"/>
      <c r="AH16" s="175"/>
    </row>
    <row r="17" spans="1:34" ht="18">
      <c r="A17" s="75" t="s">
        <v>375</v>
      </c>
      <c r="I17" s="111" t="s">
        <v>183</v>
      </c>
      <c r="J17" s="177">
        <f>J15*2*1000/2/PI()*(LN($A$8/0.341)+1.7)*1000</f>
        <v>1.2970986151741715</v>
      </c>
      <c r="K17" s="177">
        <f t="shared" ref="K17:W17" si="6">K15*2*1000/2/PI()*(LN($A$8/0.341)+1.7)*1000</f>
        <v>1.2970986151741715</v>
      </c>
      <c r="L17" s="177">
        <f t="shared" si="6"/>
        <v>1.2970986151741715</v>
      </c>
      <c r="M17" s="177">
        <f t="shared" si="6"/>
        <v>1.2970986151741715</v>
      </c>
      <c r="N17" s="177">
        <f t="shared" si="6"/>
        <v>1.2970986151741715</v>
      </c>
      <c r="O17" s="177">
        <f t="shared" si="6"/>
        <v>1.2970986151741715</v>
      </c>
      <c r="P17" s="177">
        <f t="shared" si="6"/>
        <v>1.2970986151741715</v>
      </c>
      <c r="Q17" s="177">
        <f t="shared" si="6"/>
        <v>1.2970986151741715</v>
      </c>
      <c r="R17" s="177">
        <f t="shared" si="6"/>
        <v>1.2970986151741715</v>
      </c>
      <c r="S17" s="177">
        <f t="shared" si="6"/>
        <v>1.2970986151741715</v>
      </c>
      <c r="T17" s="177">
        <f t="shared" si="6"/>
        <v>1.2970986151741715</v>
      </c>
      <c r="U17" s="177">
        <f t="shared" si="6"/>
        <v>1.2970986151741715</v>
      </c>
      <c r="V17" s="177">
        <f t="shared" si="6"/>
        <v>1.2970986151741715</v>
      </c>
      <c r="W17" s="177">
        <f t="shared" si="6"/>
        <v>1.2970986151741715</v>
      </c>
      <c r="X17" t="s">
        <v>376</v>
      </c>
      <c r="Y17" t="s">
        <v>377</v>
      </c>
      <c r="AH17" s="178">
        <f>AH15*2*1000/2/PI()*(LN($A$8/0.341)+1.7)*1000</f>
        <v>1.2970986151741715</v>
      </c>
    </row>
    <row r="18" spans="1:34">
      <c r="A18" s="139" t="s">
        <v>378</v>
      </c>
      <c r="B18" s="139">
        <v>250</v>
      </c>
      <c r="C18" s="139"/>
      <c r="D18" s="139"/>
      <c r="E18" s="139"/>
      <c r="F18" s="139"/>
      <c r="G18" s="139"/>
      <c r="J18" s="111"/>
      <c r="K18" s="111"/>
      <c r="L18" s="111"/>
      <c r="M18" s="111"/>
      <c r="N18" s="111"/>
      <c r="O18" s="111"/>
      <c r="P18" s="111"/>
      <c r="Q18" s="111"/>
      <c r="R18" s="111"/>
      <c r="S18" s="111"/>
      <c r="T18" s="111"/>
      <c r="U18" s="111"/>
      <c r="V18" s="111"/>
      <c r="W18" s="111"/>
      <c r="AH18" s="175"/>
    </row>
    <row r="19" spans="1:34" ht="18">
      <c r="A19" s="139" t="s">
        <v>379</v>
      </c>
      <c r="B19" s="139">
        <v>80</v>
      </c>
      <c r="C19" s="139"/>
      <c r="D19" s="139"/>
      <c r="E19" s="139"/>
      <c r="F19" s="139"/>
      <c r="G19" s="139"/>
      <c r="I19" s="176" t="s">
        <v>380</v>
      </c>
      <c r="J19" s="179">
        <f xml:space="preserve"> ($B$18-$B$19)/ (1 + (J9/$B$20)^2) +$B$19</f>
        <v>249.99728004351931</v>
      </c>
      <c r="K19" s="179">
        <f t="shared" ref="K19:W19" si="7" xml:space="preserve"> ($B$18-$B$19)/ (1 + (K9/$B$20)^2) +$B$19</f>
        <v>249.98300169983003</v>
      </c>
      <c r="L19" s="179">
        <f t="shared" si="7"/>
        <v>249.96175860431404</v>
      </c>
      <c r="M19" s="179">
        <f t="shared" si="7"/>
        <v>249.93202718912437</v>
      </c>
      <c r="N19" s="179">
        <f t="shared" si="7"/>
        <v>249.89381636477199</v>
      </c>
      <c r="O19" s="179">
        <f t="shared" si="7"/>
        <v>249.84713757618147</v>
      </c>
      <c r="P19" s="179">
        <f t="shared" si="7"/>
        <v>249.79200479412719</v>
      </c>
      <c r="Q19" s="179">
        <f t="shared" si="7"/>
        <v>249.72843450479232</v>
      </c>
      <c r="R19" s="179">
        <f t="shared" si="7"/>
        <v>249.57605985037407</v>
      </c>
      <c r="S19" s="179">
        <f t="shared" si="7"/>
        <v>249.48730091473291</v>
      </c>
      <c r="T19" s="179">
        <f t="shared" si="7"/>
        <v>249.39019529693104</v>
      </c>
      <c r="U19" s="179">
        <f t="shared" si="7"/>
        <v>248.31683168316832</v>
      </c>
      <c r="V19" s="179">
        <f t="shared" si="7"/>
        <v>243.46153846153845</v>
      </c>
      <c r="W19" s="179">
        <f t="shared" si="7"/>
        <v>165</v>
      </c>
      <c r="Y19" s="75" t="s">
        <v>33</v>
      </c>
      <c r="Z19" s="26"/>
      <c r="AH19" s="176">
        <f xml:space="preserve"> ($B$18-$B$19)/ (1 + (AH9/$B$20)^2) +$B$19</f>
        <v>205</v>
      </c>
    </row>
    <row r="20" spans="1:34" ht="18">
      <c r="A20" s="139" t="s">
        <v>381</v>
      </c>
      <c r="B20" s="139">
        <v>5000</v>
      </c>
      <c r="C20" s="139"/>
      <c r="D20" s="139"/>
      <c r="E20" s="139"/>
      <c r="F20" s="139"/>
      <c r="G20" s="139"/>
      <c r="I20" s="180" t="s">
        <v>382</v>
      </c>
      <c r="J20" s="181">
        <f>$B$18*J9/$B$20/(1+(J9/$B$20)^2)</f>
        <v>0.99998400025599588</v>
      </c>
      <c r="K20" s="181">
        <f t="shared" ref="K20:W20" si="8">$B$18*K9/$B$20/(1+(K9/$B$20)^2)</f>
        <v>2.4997500249975002</v>
      </c>
      <c r="L20" s="181">
        <f t="shared" si="8"/>
        <v>3.7491564398010451</v>
      </c>
      <c r="M20" s="181">
        <f t="shared" si="8"/>
        <v>4.9980007996801286</v>
      </c>
      <c r="N20" s="181">
        <f t="shared" si="8"/>
        <v>6.2460961898813236</v>
      </c>
      <c r="O20" s="181">
        <f t="shared" si="8"/>
        <v>7.4932560695374173</v>
      </c>
      <c r="P20" s="181">
        <f t="shared" si="8"/>
        <v>8.7392943644036052</v>
      </c>
      <c r="Q20" s="181">
        <f t="shared" si="8"/>
        <v>9.9840255591054312</v>
      </c>
      <c r="R20" s="181">
        <f t="shared" si="8"/>
        <v>12.468827930174564</v>
      </c>
      <c r="S20" s="181">
        <f t="shared" si="8"/>
        <v>13.70853169163281</v>
      </c>
      <c r="T20" s="181">
        <f t="shared" si="8"/>
        <v>14.946193702670385</v>
      </c>
      <c r="U20" s="181">
        <f t="shared" si="8"/>
        <v>24.752475247524753</v>
      </c>
      <c r="V20" s="181">
        <f t="shared" si="8"/>
        <v>48.076923076923073</v>
      </c>
      <c r="W20" s="181">
        <f t="shared" si="8"/>
        <v>125</v>
      </c>
      <c r="AH20" s="175"/>
    </row>
    <row r="21" spans="1:34">
      <c r="I21" s="182" t="s">
        <v>383</v>
      </c>
      <c r="J21" s="182">
        <f>J20/J19/J11*200</f>
        <v>2.9444162686891984</v>
      </c>
      <c r="K21" s="182">
        <f t="shared" ref="K21:W21" si="9">K20/K19/K11*200</f>
        <v>3.1240700884590402</v>
      </c>
      <c r="L21" s="182">
        <f t="shared" si="9"/>
        <v>4.1851043511379</v>
      </c>
      <c r="M21" s="182">
        <f t="shared" si="9"/>
        <v>5.158205084997233</v>
      </c>
      <c r="N21" s="182">
        <f t="shared" si="9"/>
        <v>6.2986472285917543</v>
      </c>
      <c r="O21" s="182">
        <f t="shared" si="9"/>
        <v>6.8368586325255745</v>
      </c>
      <c r="P21" s="182">
        <f t="shared" si="9"/>
        <v>8.4158364435846131</v>
      </c>
      <c r="Q21" s="182">
        <f t="shared" si="9"/>
        <v>9.3235313011083516</v>
      </c>
      <c r="R21" s="182">
        <f t="shared" si="9"/>
        <v>10.819458837875317</v>
      </c>
      <c r="S21" s="182">
        <f t="shared" si="9"/>
        <v>10.924895450312894</v>
      </c>
      <c r="T21" s="182">
        <f t="shared" si="9"/>
        <v>13.195630690817095</v>
      </c>
      <c r="U21" s="182">
        <f t="shared" si="9"/>
        <v>20.205685322495349</v>
      </c>
      <c r="V21" s="182">
        <f t="shared" si="9"/>
        <v>27.982021690516177</v>
      </c>
      <c r="W21" s="182">
        <f t="shared" si="9"/>
        <v>16.746476316556283</v>
      </c>
    </row>
    <row r="22" spans="1:34">
      <c r="A22" s="75" t="s">
        <v>384</v>
      </c>
    </row>
    <row r="23" spans="1:34" ht="18">
      <c r="A23" s="139" t="s">
        <v>385</v>
      </c>
      <c r="B23" s="139">
        <v>180</v>
      </c>
      <c r="I23" s="176" t="s">
        <v>386</v>
      </c>
      <c r="J23" s="183">
        <f t="shared" ref="J23:W23" si="10">SQRT(0.25/1000000/(PI()*J9*4*PI()/10000000*J19))*1000</f>
        <v>3.5588320768752859</v>
      </c>
      <c r="K23" s="183">
        <f t="shared" si="10"/>
        <v>2.2508673135300268</v>
      </c>
      <c r="L23" s="183">
        <f t="shared" si="10"/>
        <v>1.837903558109631</v>
      </c>
      <c r="M23" s="183">
        <f t="shared" si="10"/>
        <v>1.5917658392265304</v>
      </c>
      <c r="N23" s="183">
        <f t="shared" si="10"/>
        <v>1.423827493306737</v>
      </c>
      <c r="O23" s="183">
        <f t="shared" si="10"/>
        <v>1.2998921388164102</v>
      </c>
      <c r="P23" s="183">
        <f t="shared" si="10"/>
        <v>1.2035990737086479</v>
      </c>
      <c r="Q23" s="183">
        <f t="shared" si="10"/>
        <v>1.1260071307359174</v>
      </c>
      <c r="R23" s="183">
        <f t="shared" si="10"/>
        <v>1.007438792025944</v>
      </c>
      <c r="S23" s="183">
        <f t="shared" si="10"/>
        <v>0.96072605008297762</v>
      </c>
      <c r="T23" s="183">
        <f t="shared" si="10"/>
        <v>0.92000422323857656</v>
      </c>
      <c r="U23" s="183">
        <f t="shared" si="10"/>
        <v>0.71417074280189352</v>
      </c>
      <c r="V23" s="183">
        <f t="shared" si="10"/>
        <v>0.5100056119302161</v>
      </c>
      <c r="W23" s="183">
        <f t="shared" si="10"/>
        <v>0.27705319427199626</v>
      </c>
      <c r="X23" t="s">
        <v>387</v>
      </c>
      <c r="Y23" s="75" t="s">
        <v>33</v>
      </c>
      <c r="AH23" s="184">
        <f>SQRT(0.25/1000000/(PI()*AH9*4*PI()/10000000*AH19))*1000</f>
        <v>0.32088733624646421</v>
      </c>
    </row>
    <row r="24" spans="1:34">
      <c r="J24" s="40"/>
      <c r="K24" s="40"/>
      <c r="L24" s="40"/>
      <c r="M24" s="40"/>
      <c r="N24" s="40"/>
      <c r="O24" s="40"/>
      <c r="P24" s="40"/>
      <c r="Q24" s="40"/>
      <c r="R24" s="40"/>
      <c r="S24" s="40"/>
      <c r="T24" s="40"/>
      <c r="U24" s="40"/>
      <c r="V24" s="40"/>
      <c r="W24" s="40"/>
      <c r="AH24" s="164"/>
    </row>
    <row r="25" spans="1:34" ht="18">
      <c r="A25" s="75" t="s">
        <v>388</v>
      </c>
      <c r="I25" s="176" t="s">
        <v>389</v>
      </c>
      <c r="J25" s="185">
        <f t="shared" ref="J25:W25" si="11">1-EXP(-$B$26/J23)</f>
        <v>0.34392921440790747</v>
      </c>
      <c r="K25" s="185">
        <f t="shared" si="11"/>
        <v>0.48645097601674525</v>
      </c>
      <c r="L25" s="185">
        <f t="shared" si="11"/>
        <v>0.55786821512607498</v>
      </c>
      <c r="M25" s="185">
        <f t="shared" si="11"/>
        <v>0.61028893041398868</v>
      </c>
      <c r="N25" s="185">
        <f t="shared" si="11"/>
        <v>0.65128433760632665</v>
      </c>
      <c r="O25" s="185">
        <f t="shared" si="11"/>
        <v>0.68460892320686617</v>
      </c>
      <c r="P25" s="185">
        <f t="shared" si="11"/>
        <v>0.71242229456077855</v>
      </c>
      <c r="Q25" s="185">
        <f t="shared" si="11"/>
        <v>0.73608831663844532</v>
      </c>
      <c r="R25" s="185">
        <f t="shared" si="11"/>
        <v>0.77438475866136558</v>
      </c>
      <c r="S25" s="185">
        <f t="shared" si="11"/>
        <v>0.7901409514340304</v>
      </c>
      <c r="T25" s="185">
        <f t="shared" si="11"/>
        <v>0.80415412833736488</v>
      </c>
      <c r="U25" s="185">
        <f t="shared" si="11"/>
        <v>0.87758496366544492</v>
      </c>
      <c r="V25" s="185">
        <f t="shared" si="11"/>
        <v>0.94719472071825817</v>
      </c>
      <c r="W25" s="185">
        <f t="shared" si="11"/>
        <v>0.9955467572598754</v>
      </c>
      <c r="AH25" s="164"/>
    </row>
    <row r="26" spans="1:34">
      <c r="A26" s="139" t="s">
        <v>390</v>
      </c>
      <c r="B26" s="139">
        <v>1.5</v>
      </c>
      <c r="AH26" s="164"/>
    </row>
    <row r="27" spans="1:34" ht="18">
      <c r="A27" s="139"/>
      <c r="B27" s="139"/>
      <c r="I27" s="176" t="s">
        <v>391</v>
      </c>
      <c r="J27" s="40">
        <f t="shared" ref="J27:W27" si="12">J25*J19+(1-J25)*$B$23</f>
        <v>204.0741095360579</v>
      </c>
      <c r="K27" s="40">
        <f t="shared" si="12"/>
        <v>214.04329948146386</v>
      </c>
      <c r="L27" s="40">
        <f t="shared" si="12"/>
        <v>219.02944139967002</v>
      </c>
      <c r="M27" s="40">
        <f t="shared" si="12"/>
        <v>222.6787420749327</v>
      </c>
      <c r="N27" s="40">
        <f t="shared" si="12"/>
        <v>225.52074789390875</v>
      </c>
      <c r="O27" s="40">
        <f t="shared" si="12"/>
        <v>227.81797364511146</v>
      </c>
      <c r="P27" s="40">
        <f t="shared" si="12"/>
        <v>229.72138019742894</v>
      </c>
      <c r="Q27" s="40">
        <f t="shared" si="12"/>
        <v>231.32628597646664</v>
      </c>
      <c r="R27" s="40">
        <f t="shared" si="12"/>
        <v>233.87864031584064</v>
      </c>
      <c r="S27" s="40">
        <f t="shared" si="12"/>
        <v>234.90476205734984</v>
      </c>
      <c r="T27" s="40">
        <f t="shared" si="12"/>
        <v>235.8004120141631</v>
      </c>
      <c r="U27" s="40">
        <f t="shared" si="12"/>
        <v>239.95382425041157</v>
      </c>
      <c r="V27" s="40">
        <f t="shared" si="12"/>
        <v>240.11043419942791</v>
      </c>
      <c r="W27" s="40">
        <f t="shared" si="12"/>
        <v>165.06679864110185</v>
      </c>
      <c r="AH27" s="186">
        <f xml:space="preserve">  2 * (1+24/317) *AH23 /24</f>
        <v>2.8765137134606808E-2</v>
      </c>
    </row>
    <row r="28" spans="1:34">
      <c r="AH28" s="186"/>
    </row>
    <row r="29" spans="1:34" ht="18">
      <c r="I29" s="176" t="s">
        <v>392</v>
      </c>
      <c r="J29">
        <f>0.44*J25+1*(1-J25)</f>
        <v>0.80739963993157182</v>
      </c>
      <c r="K29">
        <f>0.44*K25+1*(1-K25)</f>
        <v>0.7275874534306227</v>
      </c>
      <c r="L29">
        <f t="shared" ref="L29:W29" si="13">0.44*L25+1*(1-L25)</f>
        <v>0.68759379952939803</v>
      </c>
      <c r="M29">
        <f t="shared" si="13"/>
        <v>0.65823819896816627</v>
      </c>
      <c r="N29">
        <f t="shared" si="13"/>
        <v>0.6352807709404571</v>
      </c>
      <c r="O29">
        <f t="shared" si="13"/>
        <v>0.61661900300415495</v>
      </c>
      <c r="P29">
        <f t="shared" si="13"/>
        <v>0.60104351504596409</v>
      </c>
      <c r="Q29">
        <f t="shared" si="13"/>
        <v>0.58779054268247055</v>
      </c>
      <c r="R29">
        <f t="shared" si="13"/>
        <v>0.56634453514963523</v>
      </c>
      <c r="S29">
        <f t="shared" si="13"/>
        <v>0.55752106719694305</v>
      </c>
      <c r="T29">
        <f t="shared" si="13"/>
        <v>0.54967368813107564</v>
      </c>
      <c r="U29">
        <f t="shared" si="13"/>
        <v>0.50855242034735082</v>
      </c>
      <c r="V29">
        <f t="shared" si="13"/>
        <v>0.46957095639777541</v>
      </c>
      <c r="W29">
        <f t="shared" si="13"/>
        <v>0.44249381593446979</v>
      </c>
      <c r="AH29" s="186">
        <f>SQRT(24*317)/1.26/AH23</f>
        <v>215.73078747012266</v>
      </c>
    </row>
    <row r="30" spans="1:34">
      <c r="AH30" s="164"/>
    </row>
    <row r="31" spans="1:34">
      <c r="A31" t="s">
        <v>393</v>
      </c>
      <c r="I31" s="176" t="s">
        <v>394</v>
      </c>
      <c r="J31" s="169">
        <f>($B$33+($B$34*J23)^$B$37)/($B$35+($B$36*J23)^$B$37)</f>
        <v>0.99933707903118862</v>
      </c>
      <c r="K31" s="169">
        <f t="shared" ref="K31:W31" si="14">($B$33+($B$34*K23)^$B$37)/($B$35+($B$36*K23)^$B$37)</f>
        <v>0.4859879090629744</v>
      </c>
      <c r="L31" s="169">
        <f t="shared" si="14"/>
        <v>0.44138610130209421</v>
      </c>
      <c r="M31" s="169">
        <f t="shared" si="14"/>
        <v>0.44057704882870474</v>
      </c>
      <c r="N31" s="169">
        <f t="shared" si="14"/>
        <v>0.44053384118156946</v>
      </c>
      <c r="O31" s="169">
        <f t="shared" si="14"/>
        <v>0.44052947687078614</v>
      </c>
      <c r="P31" s="169">
        <f t="shared" si="14"/>
        <v>0.44052881510606917</v>
      </c>
      <c r="Q31" s="169">
        <f t="shared" si="14"/>
        <v>0.44052868203197643</v>
      </c>
      <c r="R31" s="169">
        <f t="shared" si="14"/>
        <v>0.44052863951117771</v>
      </c>
      <c r="S31" s="169">
        <f t="shared" si="14"/>
        <v>0.44052863635383505</v>
      </c>
      <c r="T31" s="169">
        <f t="shared" si="14"/>
        <v>0.44052863519919788</v>
      </c>
      <c r="U31" s="169">
        <f t="shared" si="14"/>
        <v>0.44052863436652367</v>
      </c>
      <c r="V31" s="169">
        <f t="shared" si="14"/>
        <v>0.44052863436123973</v>
      </c>
      <c r="W31" s="169">
        <f t="shared" si="14"/>
        <v>0.44052863436123346</v>
      </c>
      <c r="AH31" s="186">
        <f xml:space="preserve"> (1- EXP( - 0.026 *AH29 ))</f>
        <v>0.99633526947966689</v>
      </c>
    </row>
    <row r="32" spans="1:34">
      <c r="AH32" s="164"/>
    </row>
    <row r="33" spans="1:34">
      <c r="A33" s="1" t="s">
        <v>395</v>
      </c>
      <c r="B33" s="138">
        <v>1</v>
      </c>
      <c r="I33" s="176" t="s">
        <v>396</v>
      </c>
      <c r="J33" s="187">
        <f xml:space="preserve">  2 * (1+24/317) *J23 /24</f>
        <v>0.31902253896279509</v>
      </c>
      <c r="K33" s="187">
        <f t="shared" ref="K33:W33" si="15" xml:space="preserve">  2 * (1+24/317) *K23 /24</f>
        <v>0.20177333173336989</v>
      </c>
      <c r="L33" s="187">
        <f t="shared" si="15"/>
        <v>0.16475423588732496</v>
      </c>
      <c r="M33" s="187">
        <f t="shared" si="15"/>
        <v>0.14268983995169474</v>
      </c>
      <c r="N33" s="187">
        <f t="shared" si="15"/>
        <v>0.12763542986792778</v>
      </c>
      <c r="O33" s="187">
        <f t="shared" si="15"/>
        <v>0.11652555713364771</v>
      </c>
      <c r="P33" s="187">
        <f t="shared" si="15"/>
        <v>0.10789360781667952</v>
      </c>
      <c r="Q33" s="187">
        <f t="shared" si="15"/>
        <v>0.10093807349656882</v>
      </c>
      <c r="R33" s="187">
        <f t="shared" si="15"/>
        <v>9.0309313375616942E-2</v>
      </c>
      <c r="S33" s="187">
        <f t="shared" si="15"/>
        <v>8.6121867265587626E-2</v>
      </c>
      <c r="T33" s="187">
        <f t="shared" si="15"/>
        <v>8.2471461652038544E-2</v>
      </c>
      <c r="U33" s="187">
        <f t="shared" si="15"/>
        <v>6.4020037669675525E-2</v>
      </c>
      <c r="V33" s="187">
        <f t="shared" si="15"/>
        <v>4.5718168682493086E-2</v>
      </c>
      <c r="W33" s="187">
        <f t="shared" si="15"/>
        <v>2.4835735869282522E-2</v>
      </c>
      <c r="Y33" s="75" t="s">
        <v>33</v>
      </c>
      <c r="AH33" s="186">
        <f xml:space="preserve"> 1 + AH31* (1.2/ EXP( 2.1 * 24/317))</f>
        <v>2.0198540801846518</v>
      </c>
    </row>
    <row r="34" spans="1:34">
      <c r="A34" s="1" t="s">
        <v>36</v>
      </c>
      <c r="B34" s="138">
        <v>0.41</v>
      </c>
      <c r="I34" s="176"/>
      <c r="J34" s="187"/>
      <c r="K34" s="187"/>
      <c r="L34" s="187"/>
      <c r="M34" s="187"/>
      <c r="N34" s="187"/>
      <c r="O34" s="187"/>
      <c r="P34" s="187"/>
      <c r="Q34" s="187"/>
      <c r="R34" s="187"/>
      <c r="S34" s="187"/>
      <c r="T34" s="187"/>
      <c r="U34" s="187"/>
      <c r="V34" s="187"/>
      <c r="W34" s="187"/>
      <c r="Y34" s="75"/>
      <c r="AH34" s="164"/>
    </row>
    <row r="35" spans="1:34">
      <c r="A35" s="1" t="s">
        <v>397</v>
      </c>
      <c r="B35" s="138">
        <v>2.27</v>
      </c>
      <c r="I35" s="176" t="s">
        <v>398</v>
      </c>
      <c r="J35" s="187">
        <f>SQRT(24*317)/1.26/J23</f>
        <v>19.45168421613776</v>
      </c>
      <c r="K35" s="187">
        <f t="shared" ref="K35:W35" si="16">SQRT(24*317)/1.26/K23</f>
        <v>30.754934918431072</v>
      </c>
      <c r="L35" s="187">
        <f t="shared" si="16"/>
        <v>37.665348343327203</v>
      </c>
      <c r="M35" s="187">
        <f t="shared" si="16"/>
        <v>43.489611368514886</v>
      </c>
      <c r="N35" s="187">
        <f t="shared" si="16"/>
        <v>48.619146675464897</v>
      </c>
      <c r="O35" s="187">
        <f t="shared" si="16"/>
        <v>53.254632188691744</v>
      </c>
      <c r="P35" s="187">
        <f t="shared" si="16"/>
        <v>57.515230154121021</v>
      </c>
      <c r="Q35" s="187">
        <f t="shared" si="16"/>
        <v>61.478542939951566</v>
      </c>
      <c r="R35" s="187">
        <f t="shared" si="16"/>
        <v>68.714127632934193</v>
      </c>
      <c r="S35" s="187">
        <f t="shared" si="16"/>
        <v>72.055168829512624</v>
      </c>
      <c r="T35" s="187">
        <f t="shared" si="16"/>
        <v>75.244521697905483</v>
      </c>
      <c r="U35" s="187">
        <f t="shared" si="16"/>
        <v>96.930990852480804</v>
      </c>
      <c r="V35" s="187">
        <f t="shared" si="16"/>
        <v>135.73434510973937</v>
      </c>
      <c r="W35" s="187">
        <f t="shared" si="16"/>
        <v>249.86276703844106</v>
      </c>
      <c r="X35" t="s">
        <v>399</v>
      </c>
      <c r="Y35" s="75"/>
      <c r="AH35" s="164">
        <f>4*PI()/10000000  * 2 * 1000 / 2/PI()*  AH19 / 7.2  * (1 -EXP( -AH27)) /AH33 * 1000</f>
        <v>0.15988087317393748</v>
      </c>
    </row>
    <row r="36" spans="1:34">
      <c r="A36" s="1" t="s">
        <v>400</v>
      </c>
      <c r="B36" s="138">
        <v>0.41</v>
      </c>
      <c r="AH36" s="164"/>
    </row>
    <row r="37" spans="1:34" ht="18">
      <c r="A37" s="1" t="s">
        <v>401</v>
      </c>
      <c r="B37" s="138">
        <v>20</v>
      </c>
      <c r="I37" s="176" t="s">
        <v>402</v>
      </c>
      <c r="J37" s="187">
        <f t="shared" ref="J37:W37" si="17" xml:space="preserve"> (1- EXP( - 0.026 *J35 ))</f>
        <v>0.39694313886012078</v>
      </c>
      <c r="K37" s="187">
        <f t="shared" si="17"/>
        <v>0.55050399280479745</v>
      </c>
      <c r="L37" s="187">
        <f t="shared" si="17"/>
        <v>0.62442573721276151</v>
      </c>
      <c r="M37" s="187">
        <f t="shared" si="17"/>
        <v>0.67720243809759262</v>
      </c>
      <c r="N37" s="187">
        <f t="shared" si="17"/>
        <v>0.71750595649672388</v>
      </c>
      <c r="O37" s="187">
        <f t="shared" si="17"/>
        <v>0.74958116849822543</v>
      </c>
      <c r="P37" s="187">
        <f t="shared" si="17"/>
        <v>0.7758401765514189</v>
      </c>
      <c r="Q37" s="187">
        <f t="shared" si="17"/>
        <v>0.79778870561006288</v>
      </c>
      <c r="R37" s="187">
        <f t="shared" si="17"/>
        <v>0.83246572444239952</v>
      </c>
      <c r="S37" s="187">
        <f t="shared" si="17"/>
        <v>0.84640475097401269</v>
      </c>
      <c r="T37" s="187">
        <f t="shared" si="17"/>
        <v>0.85862757577244131</v>
      </c>
      <c r="U37" s="187">
        <f t="shared" si="17"/>
        <v>0.91955694709017188</v>
      </c>
      <c r="V37" s="187">
        <f t="shared" si="17"/>
        <v>0.97066849172053693</v>
      </c>
      <c r="W37" s="187">
        <f t="shared" si="17"/>
        <v>0.99849118686872729</v>
      </c>
      <c r="Y37" s="187"/>
      <c r="AH37" s="188">
        <f>2*PI()*AH9</f>
        <v>18849.555921538758</v>
      </c>
    </row>
    <row r="38" spans="1:34">
      <c r="AH38" s="164"/>
    </row>
    <row r="39" spans="1:34" ht="18">
      <c r="A39" s="1" t="s">
        <v>403</v>
      </c>
      <c r="I39" s="176" t="s">
        <v>404</v>
      </c>
      <c r="J39" s="187">
        <f t="shared" ref="J39" si="18" xml:space="preserve"> 1 + J37* (1.2/ EXP( 2.1 * 24/317))</f>
        <v>1.4063131078148174</v>
      </c>
      <c r="K39" s="187">
        <f xml:space="preserve"> 1 + K37* (1.2/ EXP( 2.1 * 24/317))</f>
        <v>1.5634988145236712</v>
      </c>
      <c r="L39" s="187">
        <f t="shared" ref="L39:W39" si="19" xml:space="preserve"> 1 + L37* (1.2/ EXP( 2.1 * 24/317))</f>
        <v>1.6391655052032064</v>
      </c>
      <c r="M39" s="187">
        <f t="shared" si="19"/>
        <v>1.6931880168866376</v>
      </c>
      <c r="N39" s="187">
        <f t="shared" si="19"/>
        <v>1.7344429126473964</v>
      </c>
      <c r="O39" s="187">
        <f t="shared" si="19"/>
        <v>1.7672752702227765</v>
      </c>
      <c r="P39" s="187">
        <f t="shared" si="19"/>
        <v>1.7941541305070632</v>
      </c>
      <c r="Q39" s="187">
        <f t="shared" si="19"/>
        <v>1.8166207615701184</v>
      </c>
      <c r="R39" s="187">
        <f t="shared" si="19"/>
        <v>1.8521163424535172</v>
      </c>
      <c r="S39" s="187">
        <f t="shared" si="19"/>
        <v>1.8663844041367015</v>
      </c>
      <c r="T39" s="187">
        <f t="shared" si="19"/>
        <v>1.8788957525993224</v>
      </c>
      <c r="U39" s="187">
        <f t="shared" si="19"/>
        <v>1.9412633810924151</v>
      </c>
      <c r="V39" s="187">
        <f t="shared" si="19"/>
        <v>1.9935814299787511</v>
      </c>
      <c r="W39" s="187">
        <f t="shared" si="19"/>
        <v>2.0220608886889044</v>
      </c>
      <c r="AH39" s="189">
        <f>AH37*AH17/1000</f>
        <v>24.449732882476027</v>
      </c>
    </row>
    <row r="40" spans="1:34">
      <c r="A40" s="1"/>
      <c r="I40" s="190" t="s">
        <v>405</v>
      </c>
      <c r="J40" s="191">
        <f>7.2*J39</f>
        <v>10.125454376266687</v>
      </c>
      <c r="K40" s="191">
        <f t="shared" ref="K40:W40" si="20">7.2*K39</f>
        <v>11.257191464570433</v>
      </c>
      <c r="L40" s="191">
        <f t="shared" si="20"/>
        <v>11.801991637463086</v>
      </c>
      <c r="M40" s="191">
        <f t="shared" si="20"/>
        <v>12.19095372158379</v>
      </c>
      <c r="N40" s="191">
        <f t="shared" si="20"/>
        <v>12.487988971061254</v>
      </c>
      <c r="O40" s="191">
        <f t="shared" si="20"/>
        <v>12.724381945603991</v>
      </c>
      <c r="P40" s="191">
        <f t="shared" si="20"/>
        <v>12.917909739650856</v>
      </c>
      <c r="Q40" s="191">
        <f t="shared" si="20"/>
        <v>13.079669483304853</v>
      </c>
      <c r="R40" s="191">
        <f t="shared" si="20"/>
        <v>13.335237665665325</v>
      </c>
      <c r="S40" s="191">
        <f t="shared" si="20"/>
        <v>13.437967709784251</v>
      </c>
      <c r="T40" s="191">
        <f t="shared" si="20"/>
        <v>13.528049418715122</v>
      </c>
      <c r="U40" s="191">
        <f t="shared" si="20"/>
        <v>13.977096343865389</v>
      </c>
      <c r="V40" s="191">
        <f t="shared" si="20"/>
        <v>14.353786295847009</v>
      </c>
      <c r="W40" s="191">
        <f t="shared" si="20"/>
        <v>14.558838398560113</v>
      </c>
      <c r="AH40" s="189"/>
    </row>
    <row r="41" spans="1:34" ht="15.75" thickBot="1">
      <c r="AH41" s="189"/>
    </row>
    <row r="42" spans="1:34" ht="19.5" thickTop="1" thickBot="1">
      <c r="A42" s="1" t="s">
        <v>395</v>
      </c>
      <c r="B42" s="138">
        <v>1</v>
      </c>
      <c r="I42" s="111" t="s">
        <v>184</v>
      </c>
      <c r="J42" s="192">
        <f t="shared" ref="J42:W42" si="21">(4*PI()/10000000  * 2 * 1000 / 2/PI()*  J27 / 7.2  * (1 -EXP( -J33)) /J39 * 1000)*0.4405/J31</f>
        <v>0.97063047296015414</v>
      </c>
      <c r="K42" s="192">
        <f t="shared" si="21"/>
        <v>1.2596147392281396</v>
      </c>
      <c r="L42" s="192">
        <f t="shared" si="21"/>
        <v>1.1253462813437027</v>
      </c>
      <c r="M42" s="192">
        <f t="shared" si="21"/>
        <v>0.97140834060613024</v>
      </c>
      <c r="N42" s="192">
        <f t="shared" si="21"/>
        <v>0.8655077093473893</v>
      </c>
      <c r="O42" s="192">
        <f t="shared" si="21"/>
        <v>0.78767285948175192</v>
      </c>
      <c r="P42" s="192">
        <f t="shared" si="21"/>
        <v>0.72747538267546874</v>
      </c>
      <c r="Q42" s="192">
        <f t="shared" si="21"/>
        <v>0.6791737128717944</v>
      </c>
      <c r="R42" s="192">
        <f t="shared" si="21"/>
        <v>0.60574697214505568</v>
      </c>
      <c r="S42" s="192">
        <f t="shared" si="21"/>
        <v>0.57694777802609853</v>
      </c>
      <c r="T42" s="192">
        <f t="shared" si="21"/>
        <v>0.55189880195642038</v>
      </c>
      <c r="U42" s="192">
        <f t="shared" si="21"/>
        <v>0.42582464462836844</v>
      </c>
      <c r="V42" s="192">
        <f t="shared" si="21"/>
        <v>0.29900289394021951</v>
      </c>
      <c r="W42" s="192">
        <f t="shared" si="21"/>
        <v>0.11123973531177848</v>
      </c>
      <c r="X42" t="s">
        <v>376</v>
      </c>
      <c r="AH42" s="189">
        <f>AH39*AH10</f>
        <v>22.301782736494818</v>
      </c>
    </row>
    <row r="43" spans="1:34" ht="15.75" thickTop="1">
      <c r="A43" s="1" t="s">
        <v>36</v>
      </c>
      <c r="B43" s="138">
        <v>0.41</v>
      </c>
      <c r="AH43" s="164"/>
    </row>
    <row r="44" spans="1:34">
      <c r="A44" s="1" t="s">
        <v>397</v>
      </c>
      <c r="B44" s="138">
        <v>2.27</v>
      </c>
      <c r="I44" s="176" t="s">
        <v>260</v>
      </c>
      <c r="J44" s="193">
        <f t="shared" ref="J44:W44" si="22">2*PI()*J9</f>
        <v>125.66370614359172</v>
      </c>
      <c r="K44" s="193">
        <f t="shared" si="22"/>
        <v>314.15926535897933</v>
      </c>
      <c r="L44" s="193">
        <f t="shared" si="22"/>
        <v>471.23889803846896</v>
      </c>
      <c r="M44" s="193">
        <f t="shared" si="22"/>
        <v>628.31853071795865</v>
      </c>
      <c r="N44" s="193">
        <f t="shared" si="22"/>
        <v>785.39816339744823</v>
      </c>
      <c r="O44" s="193">
        <f t="shared" si="22"/>
        <v>942.47779607693792</v>
      </c>
      <c r="P44" s="193">
        <f t="shared" si="22"/>
        <v>1099.5574287564275</v>
      </c>
      <c r="Q44" s="193">
        <f t="shared" si="22"/>
        <v>1256.6370614359173</v>
      </c>
      <c r="R44" s="193">
        <f t="shared" si="22"/>
        <v>1570.7963267948965</v>
      </c>
      <c r="S44" s="193">
        <f t="shared" si="22"/>
        <v>1727.8759594743863</v>
      </c>
      <c r="T44" s="193">
        <f t="shared" si="22"/>
        <v>1884.9555921538758</v>
      </c>
      <c r="U44" s="193">
        <f t="shared" si="22"/>
        <v>3141.5926535897929</v>
      </c>
      <c r="V44" s="193">
        <f t="shared" si="22"/>
        <v>6283.1853071795858</v>
      </c>
      <c r="W44" s="193">
        <f t="shared" si="22"/>
        <v>31415.926535897932</v>
      </c>
      <c r="Y44" s="75" t="s">
        <v>33</v>
      </c>
      <c r="AH44" s="189">
        <f>AH37*AH35/1000</f>
        <v>3.0136834596765807</v>
      </c>
    </row>
    <row r="45" spans="1:34">
      <c r="A45" s="1" t="s">
        <v>400</v>
      </c>
      <c r="B45" s="138">
        <v>0.41</v>
      </c>
      <c r="AH45" s="164"/>
    </row>
    <row r="46" spans="1:34" ht="18">
      <c r="A46" s="1" t="s">
        <v>401</v>
      </c>
      <c r="B46" s="138">
        <v>20</v>
      </c>
      <c r="I46" s="176" t="s">
        <v>406</v>
      </c>
      <c r="J46" s="38">
        <f t="shared" ref="J46:W46" si="23">J44*J17/1000</f>
        <v>0.16299821921650684</v>
      </c>
      <c r="K46" s="38">
        <f t="shared" si="23"/>
        <v>0.40749554804126709</v>
      </c>
      <c r="L46" s="38">
        <f t="shared" si="23"/>
        <v>0.61124332206190068</v>
      </c>
      <c r="M46" s="38">
        <f t="shared" si="23"/>
        <v>0.81499109608253417</v>
      </c>
      <c r="N46" s="38">
        <f t="shared" si="23"/>
        <v>1.0187388701031677</v>
      </c>
      <c r="O46" s="38">
        <f t="shared" si="23"/>
        <v>1.2224866441238014</v>
      </c>
      <c r="P46" s="38">
        <f t="shared" si="23"/>
        <v>1.4262344181444349</v>
      </c>
      <c r="Q46" s="38">
        <f t="shared" si="23"/>
        <v>1.6299821921650683</v>
      </c>
      <c r="R46" s="38">
        <f t="shared" si="23"/>
        <v>2.0374777402063353</v>
      </c>
      <c r="S46" s="38">
        <f t="shared" si="23"/>
        <v>2.241225514226969</v>
      </c>
      <c r="T46" s="38">
        <f t="shared" si="23"/>
        <v>2.4449732882476027</v>
      </c>
      <c r="U46" s="38">
        <f t="shared" si="23"/>
        <v>4.0749554804126706</v>
      </c>
      <c r="V46" s="38">
        <f t="shared" si="23"/>
        <v>8.1499109608253413</v>
      </c>
      <c r="W46" s="38">
        <f t="shared" si="23"/>
        <v>40.74955480412671</v>
      </c>
      <c r="X46" s="194" t="s">
        <v>407</v>
      </c>
      <c r="Y46" t="s">
        <v>408</v>
      </c>
      <c r="AH46" s="189">
        <f>AH44+AH42</f>
        <v>25.3154661961714</v>
      </c>
    </row>
    <row r="47" spans="1:34" ht="15.75">
      <c r="I47" s="176"/>
      <c r="J47" s="38"/>
      <c r="K47" s="38"/>
      <c r="L47" s="38"/>
      <c r="M47" s="38"/>
      <c r="N47" s="38"/>
      <c r="O47" s="38"/>
      <c r="P47" s="38"/>
      <c r="Q47" s="38"/>
      <c r="R47" s="38"/>
      <c r="S47" s="38"/>
      <c r="T47" s="38"/>
      <c r="U47" s="38"/>
      <c r="V47" s="38"/>
      <c r="W47" s="38"/>
      <c r="X47" s="194"/>
      <c r="AH47" s="195">
        <f>AH4</f>
        <v>25.3154661961714</v>
      </c>
    </row>
    <row r="48" spans="1:34" ht="18">
      <c r="A48" s="1" t="s">
        <v>409</v>
      </c>
      <c r="B48">
        <f>B42/B44</f>
        <v>0.44052863436123346</v>
      </c>
      <c r="I48" s="176" t="s">
        <v>410</v>
      </c>
      <c r="J48" s="38">
        <f t="shared" ref="J48:W48" si="24">J46*J10</f>
        <v>0.18345254339392572</v>
      </c>
      <c r="K48" s="38">
        <f t="shared" si="24"/>
        <v>0.48172714868480337</v>
      </c>
      <c r="L48" s="38">
        <f t="shared" si="24"/>
        <v>0.69585237059490479</v>
      </c>
      <c r="M48" s="38">
        <f t="shared" si="24"/>
        <v>0.90758171240878571</v>
      </c>
      <c r="N48" s="38">
        <f t="shared" si="24"/>
        <v>1.1716993360709282</v>
      </c>
      <c r="O48" s="38">
        <f t="shared" si="24"/>
        <v>1.4373454327544788</v>
      </c>
      <c r="P48" s="38">
        <f t="shared" si="24"/>
        <v>1.6240325948251835</v>
      </c>
      <c r="Q48" s="38">
        <f t="shared" si="24"/>
        <v>1.8672198618835267</v>
      </c>
      <c r="R48" s="38">
        <f t="shared" si="24"/>
        <v>2.2628291462990457</v>
      </c>
      <c r="S48" s="38">
        <f t="shared" si="24"/>
        <v>2.5369057739688499</v>
      </c>
      <c r="T48" s="38">
        <f t="shared" si="24"/>
        <v>2.7565007965456307</v>
      </c>
      <c r="U48" s="38">
        <f t="shared" si="24"/>
        <v>4.5087674583701336</v>
      </c>
      <c r="V48" s="38">
        <f t="shared" si="24"/>
        <v>9.2557220241121367</v>
      </c>
      <c r="W48" s="38">
        <f t="shared" si="24"/>
        <v>44.298015843935943</v>
      </c>
      <c r="X48" s="194" t="s">
        <v>407</v>
      </c>
      <c r="Y48" t="s">
        <v>411</v>
      </c>
      <c r="AH48" s="164"/>
    </row>
    <row r="49" spans="1:34">
      <c r="A49" s="1" t="s">
        <v>412</v>
      </c>
      <c r="B49">
        <f>B43/B45</f>
        <v>1</v>
      </c>
      <c r="AH49" s="164">
        <f t="shared" ref="AH49:BF55" si="25" xml:space="preserve"> 0.25 /1000000 * 1000 / (0.317 * 0.024)*2</f>
        <v>6.5720294426919026E-2</v>
      </c>
    </row>
    <row r="50" spans="1:34" ht="18">
      <c r="I50" s="176" t="s">
        <v>413</v>
      </c>
      <c r="J50" s="196">
        <f>J44*J42/1000</f>
        <v>0.12197302252808026</v>
      </c>
      <c r="K50" s="197">
        <f t="shared" ref="K50:W50" si="26">K44*K42/1000</f>
        <v>0.39571964111125463</v>
      </c>
      <c r="L50" s="197">
        <f t="shared" si="26"/>
        <v>0.53030694153209534</v>
      </c>
      <c r="M50" s="197">
        <f t="shared" si="26"/>
        <v>0.61035386129681413</v>
      </c>
      <c r="N50" s="197">
        <f t="shared" si="26"/>
        <v>0.67976816532777196</v>
      </c>
      <c r="O50" s="197">
        <f t="shared" si="26"/>
        <v>0.74236418063398113</v>
      </c>
      <c r="P50" s="197">
        <f t="shared" si="26"/>
        <v>0.79990096125823651</v>
      </c>
      <c r="Q50" s="197">
        <f t="shared" si="26"/>
        <v>0.8534748587477331</v>
      </c>
      <c r="R50" s="197">
        <f t="shared" si="26"/>
        <v>0.95150511881258404</v>
      </c>
      <c r="S50" s="197">
        <f t="shared" si="26"/>
        <v>0.99689419552346026</v>
      </c>
      <c r="T50" s="197">
        <f t="shared" si="26"/>
        <v>1.0403047330507791</v>
      </c>
      <c r="U50" s="197">
        <f t="shared" si="26"/>
        <v>1.3377675752819667</v>
      </c>
      <c r="V50" s="197">
        <f t="shared" si="26"/>
        <v>1.8786905900093631</v>
      </c>
      <c r="W50" s="197">
        <f t="shared" si="26"/>
        <v>3.4946993524275638</v>
      </c>
      <c r="X50" s="194" t="s">
        <v>407</v>
      </c>
      <c r="Y50" t="s">
        <v>414</v>
      </c>
      <c r="AH50" s="164"/>
    </row>
    <row r="51" spans="1:34">
      <c r="AH51" s="164">
        <f>AH49*AH33 / (1- EXP(-AH27))</f>
        <v>4.6814926395789538</v>
      </c>
    </row>
    <row r="52" spans="1:34" ht="18">
      <c r="I52" s="176" t="s">
        <v>415</v>
      </c>
      <c r="J52" s="38">
        <f t="shared" ref="J52:V52" si="27">J50+J48</f>
        <v>0.30542556592200598</v>
      </c>
      <c r="K52" s="38">
        <f t="shared" si="27"/>
        <v>0.87744678979605806</v>
      </c>
      <c r="L52" s="38">
        <f t="shared" si="27"/>
        <v>1.2261593121270002</v>
      </c>
      <c r="M52" s="38">
        <f t="shared" si="27"/>
        <v>1.5179355737055999</v>
      </c>
      <c r="N52" s="38">
        <f t="shared" si="27"/>
        <v>1.8514675013987003</v>
      </c>
      <c r="O52" s="38">
        <f t="shared" si="27"/>
        <v>2.1797096133884599</v>
      </c>
      <c r="P52" s="38">
        <f t="shared" si="27"/>
        <v>2.4239335560834201</v>
      </c>
      <c r="Q52" s="38">
        <f t="shared" si="27"/>
        <v>2.7206947206312599</v>
      </c>
      <c r="R52" s="38">
        <f t="shared" si="27"/>
        <v>3.2143342651116296</v>
      </c>
      <c r="S52" s="38">
        <f t="shared" si="27"/>
        <v>3.5337999694923101</v>
      </c>
      <c r="T52" s="38">
        <f t="shared" si="27"/>
        <v>3.7968055295964098</v>
      </c>
      <c r="U52" s="38">
        <f t="shared" si="27"/>
        <v>5.8465350336521</v>
      </c>
      <c r="V52" s="38">
        <f t="shared" si="27"/>
        <v>11.1344126141215</v>
      </c>
      <c r="W52" s="38">
        <f>W50+W48</f>
        <v>47.79271519636351</v>
      </c>
      <c r="X52" s="194" t="s">
        <v>416</v>
      </c>
      <c r="Y52" s="26" t="s">
        <v>417</v>
      </c>
      <c r="AH52" s="164">
        <f>AH37*AH35 /1000</f>
        <v>3.0136834596765807</v>
      </c>
    </row>
    <row r="53" spans="1:34" ht="15.75">
      <c r="I53" s="198" t="s">
        <v>418</v>
      </c>
      <c r="J53" s="199">
        <f t="shared" ref="J53:W53" si="28">J4</f>
        <v>0.30542556592200598</v>
      </c>
      <c r="K53" s="199">
        <f t="shared" si="28"/>
        <v>0.87744678979605795</v>
      </c>
      <c r="L53" s="199">
        <f t="shared" si="28"/>
        <v>1.226159312127</v>
      </c>
      <c r="M53" s="199">
        <f t="shared" si="28"/>
        <v>1.5179355737055999</v>
      </c>
      <c r="N53" s="199">
        <f t="shared" si="28"/>
        <v>1.8514675013987001</v>
      </c>
      <c r="O53" s="199">
        <f t="shared" si="28"/>
        <v>2.1797096133884599</v>
      </c>
      <c r="P53" s="199">
        <f t="shared" si="28"/>
        <v>2.4239335560834201</v>
      </c>
      <c r="Q53" s="199">
        <f t="shared" si="28"/>
        <v>2.7206947206312599</v>
      </c>
      <c r="R53" s="199">
        <f t="shared" si="28"/>
        <v>3.21433426511163</v>
      </c>
      <c r="S53" s="199">
        <f t="shared" si="28"/>
        <v>3.5337999694923101</v>
      </c>
      <c r="T53" s="199">
        <f t="shared" si="28"/>
        <v>3.7968055295964098</v>
      </c>
      <c r="U53" s="199">
        <f t="shared" si="28"/>
        <v>5.8465350336521</v>
      </c>
      <c r="V53" s="199">
        <f t="shared" si="28"/>
        <v>11.1344126141215</v>
      </c>
      <c r="W53" s="199">
        <f t="shared" si="28"/>
        <v>47.792715196363503</v>
      </c>
      <c r="X53" s="200"/>
      <c r="Y53" s="75" t="s">
        <v>419</v>
      </c>
      <c r="AH53" s="164"/>
    </row>
    <row r="54" spans="1:34">
      <c r="AH54" s="164">
        <f>AH52/AH11</f>
        <v>-1.0862512050628736</v>
      </c>
    </row>
    <row r="55" spans="1:34">
      <c r="I55" s="176" t="s">
        <v>420</v>
      </c>
      <c r="J55">
        <f t="shared" ref="J55:AH61" si="29" xml:space="preserve"> 0.25 /1000000 * 1000 / (0.317 * 0.024)*2</f>
        <v>6.5720294426919026E-2</v>
      </c>
      <c r="K55">
        <f t="shared" si="29"/>
        <v>6.5720294426919026E-2</v>
      </c>
      <c r="L55">
        <f t="shared" si="29"/>
        <v>6.5720294426919026E-2</v>
      </c>
      <c r="M55">
        <f t="shared" si="29"/>
        <v>6.5720294426919026E-2</v>
      </c>
      <c r="N55">
        <f t="shared" si="29"/>
        <v>6.5720294426919026E-2</v>
      </c>
      <c r="O55">
        <f t="shared" si="29"/>
        <v>6.5720294426919026E-2</v>
      </c>
      <c r="P55">
        <f t="shared" si="29"/>
        <v>6.5720294426919026E-2</v>
      </c>
      <c r="Q55">
        <f t="shared" si="29"/>
        <v>6.5720294426919026E-2</v>
      </c>
      <c r="R55">
        <f t="shared" si="29"/>
        <v>6.5720294426919026E-2</v>
      </c>
      <c r="S55">
        <f t="shared" si="29"/>
        <v>6.5720294426919026E-2</v>
      </c>
      <c r="T55">
        <f t="shared" si="29"/>
        <v>6.5720294426919026E-2</v>
      </c>
      <c r="U55">
        <f t="shared" si="29"/>
        <v>6.5720294426919026E-2</v>
      </c>
      <c r="V55">
        <f t="shared" si="29"/>
        <v>6.5720294426919026E-2</v>
      </c>
      <c r="W55">
        <f xml:space="preserve"> 0.25 /1000000 * 1000 / (0.317 * 0.024)*2</f>
        <v>6.5720294426919026E-2</v>
      </c>
      <c r="Y55" t="s">
        <v>421</v>
      </c>
      <c r="AH55" s="164"/>
    </row>
    <row r="56" spans="1:34">
      <c r="AH56" s="201">
        <f>AH51+AH54</f>
        <v>3.5952414345160801</v>
      </c>
    </row>
    <row r="57" spans="1:34" ht="18">
      <c r="I57" s="176" t="s">
        <v>422</v>
      </c>
      <c r="J57">
        <f t="shared" ref="J57:U57" si="30">J55*J31*J39 / (1- EXP(-J33))</f>
        <v>0.338148057019384</v>
      </c>
      <c r="K57">
        <f t="shared" si="30"/>
        <v>0.2732982250951202</v>
      </c>
      <c r="L57">
        <f t="shared" si="30"/>
        <v>0.31303235134854257</v>
      </c>
      <c r="M57">
        <f t="shared" si="30"/>
        <v>0.36868022112026771</v>
      </c>
      <c r="N57">
        <f t="shared" si="30"/>
        <v>0.41907183192341063</v>
      </c>
      <c r="O57">
        <f t="shared" si="30"/>
        <v>0.46517354863678645</v>
      </c>
      <c r="P57">
        <f t="shared" si="30"/>
        <v>0.50787405041464306</v>
      </c>
      <c r="Q57">
        <f t="shared" si="30"/>
        <v>0.54779368935434458</v>
      </c>
      <c r="R57">
        <f t="shared" si="30"/>
        <v>0.62097228368520674</v>
      </c>
      <c r="S57">
        <f t="shared" si="30"/>
        <v>0.65482948167857857</v>
      </c>
      <c r="T57">
        <f t="shared" si="30"/>
        <v>0.6871602299410362</v>
      </c>
      <c r="U57">
        <f t="shared" si="30"/>
        <v>0.90629543250874312</v>
      </c>
      <c r="V57">
        <f>V55*V31*V39 / (1- EXP(-V33))</f>
        <v>1.2915420468309027</v>
      </c>
      <c r="W57" s="18">
        <f>W55*W31*W39 / (1- EXP(-W33))</f>
        <v>2.3865618266824757</v>
      </c>
      <c r="Y57" t="s">
        <v>423</v>
      </c>
      <c r="AH57" s="201">
        <f>AH3</f>
        <v>3.5952414345160801</v>
      </c>
    </row>
    <row r="58" spans="1:34">
      <c r="I58" s="176" t="s">
        <v>424</v>
      </c>
      <c r="J58">
        <f t="shared" ref="J58:V58" si="31">J44*J42 /1000</f>
        <v>0.12197302252808026</v>
      </c>
      <c r="K58">
        <f t="shared" si="31"/>
        <v>0.39571964111125463</v>
      </c>
      <c r="L58">
        <f t="shared" si="31"/>
        <v>0.53030694153209534</v>
      </c>
      <c r="M58">
        <f t="shared" si="31"/>
        <v>0.61035386129681413</v>
      </c>
      <c r="N58">
        <f t="shared" si="31"/>
        <v>0.67976816532777196</v>
      </c>
      <c r="O58">
        <f t="shared" si="31"/>
        <v>0.74236418063398113</v>
      </c>
      <c r="P58">
        <f t="shared" si="31"/>
        <v>0.79990096125823651</v>
      </c>
      <c r="Q58">
        <f t="shared" si="31"/>
        <v>0.8534748587477331</v>
      </c>
      <c r="R58">
        <f t="shared" si="31"/>
        <v>0.95150511881258404</v>
      </c>
      <c r="S58">
        <f t="shared" si="31"/>
        <v>0.99689419552346026</v>
      </c>
      <c r="T58">
        <f t="shared" si="31"/>
        <v>1.0403047330507791</v>
      </c>
      <c r="U58">
        <f t="shared" si="31"/>
        <v>1.3377675752819667</v>
      </c>
      <c r="V58">
        <f t="shared" si="31"/>
        <v>1.8786905900093631</v>
      </c>
      <c r="W58">
        <f>W44*W42 /1000</f>
        <v>3.4946993524275638</v>
      </c>
      <c r="Y58" t="s">
        <v>425</v>
      </c>
    </row>
    <row r="60" spans="1:34">
      <c r="I60" s="176" t="s">
        <v>426</v>
      </c>
      <c r="J60">
        <f t="shared" ref="J60:W60" si="32">J58/J11</f>
        <v>0.44892648833294407</v>
      </c>
      <c r="K60">
        <f t="shared" si="32"/>
        <v>0.61814772720001576</v>
      </c>
      <c r="L60">
        <f t="shared" si="32"/>
        <v>0.73984989483885732</v>
      </c>
      <c r="M60">
        <f t="shared" si="32"/>
        <v>0.78718334431974224</v>
      </c>
      <c r="N60">
        <f t="shared" si="32"/>
        <v>0.85649523892015933</v>
      </c>
      <c r="O60">
        <f t="shared" si="32"/>
        <v>0.84615011387746342</v>
      </c>
      <c r="P60">
        <f t="shared" si="32"/>
        <v>0.96206779151350685</v>
      </c>
      <c r="Q60">
        <f t="shared" si="32"/>
        <v>0.99518421860229533</v>
      </c>
      <c r="R60">
        <f t="shared" si="32"/>
        <v>1.0303006283394032</v>
      </c>
      <c r="S60">
        <f t="shared" si="32"/>
        <v>0.99104611955483124</v>
      </c>
      <c r="T60">
        <f t="shared" si="32"/>
        <v>1.1452742597353338</v>
      </c>
      <c r="U60">
        <f t="shared" si="32"/>
        <v>1.3558504147449768</v>
      </c>
      <c r="V60">
        <f t="shared" si="32"/>
        <v>1.3310612804538773</v>
      </c>
      <c r="W60">
        <f t="shared" si="32"/>
        <v>0.3862577395968243</v>
      </c>
      <c r="Y60" t="s">
        <v>427</v>
      </c>
    </row>
    <row r="62" spans="1:34" ht="18">
      <c r="I62" s="176" t="s">
        <v>428</v>
      </c>
      <c r="J62" s="38">
        <f t="shared" ref="J62:V62" si="33">J57+J60</f>
        <v>0.78707454535232801</v>
      </c>
      <c r="K62" s="38">
        <f t="shared" si="33"/>
        <v>0.8914459522951359</v>
      </c>
      <c r="L62" s="38">
        <f t="shared" si="33"/>
        <v>1.0528822461873999</v>
      </c>
      <c r="M62" s="38">
        <f t="shared" si="33"/>
        <v>1.15586356544001</v>
      </c>
      <c r="N62" s="38">
        <f t="shared" si="33"/>
        <v>1.27556707084357</v>
      </c>
      <c r="O62" s="38">
        <f t="shared" si="33"/>
        <v>1.3113236625142499</v>
      </c>
      <c r="P62" s="38">
        <f t="shared" si="33"/>
        <v>1.4699418419281498</v>
      </c>
      <c r="Q62" s="38">
        <f t="shared" si="33"/>
        <v>1.5429779079566399</v>
      </c>
      <c r="R62" s="38">
        <f t="shared" si="33"/>
        <v>1.6512729120246099</v>
      </c>
      <c r="S62" s="38">
        <f t="shared" si="33"/>
        <v>1.6458756012334099</v>
      </c>
      <c r="T62" s="38">
        <f t="shared" si="33"/>
        <v>1.83243448967637</v>
      </c>
      <c r="U62" s="38">
        <f t="shared" si="33"/>
        <v>2.2621458472537199</v>
      </c>
      <c r="V62" s="38">
        <f t="shared" si="33"/>
        <v>2.62260332728478</v>
      </c>
      <c r="W62" s="38">
        <f>W57+W60</f>
        <v>2.7728195662793</v>
      </c>
      <c r="X62" s="194" t="s">
        <v>416</v>
      </c>
      <c r="Y62" s="26" t="s">
        <v>429</v>
      </c>
    </row>
    <row r="63" spans="1:34">
      <c r="I63" s="198" t="s">
        <v>430</v>
      </c>
      <c r="J63" s="199">
        <f t="shared" ref="J63:W63" si="34">J3</f>
        <v>0.78707454535232801</v>
      </c>
      <c r="K63" s="199">
        <f t="shared" si="34"/>
        <v>0.89144595229513601</v>
      </c>
      <c r="L63" s="199">
        <f t="shared" si="34"/>
        <v>1.0528822461873999</v>
      </c>
      <c r="M63" s="199">
        <f t="shared" si="34"/>
        <v>1.15586356544001</v>
      </c>
      <c r="N63" s="199">
        <f t="shared" si="34"/>
        <v>1.27556707084357</v>
      </c>
      <c r="O63" s="199">
        <f t="shared" si="34"/>
        <v>1.3113236625142499</v>
      </c>
      <c r="P63" s="199">
        <f t="shared" si="34"/>
        <v>1.46994184192815</v>
      </c>
      <c r="Q63" s="199">
        <f t="shared" si="34"/>
        <v>1.5429779079566399</v>
      </c>
      <c r="R63" s="199">
        <f t="shared" si="34"/>
        <v>1.6512729120246099</v>
      </c>
      <c r="S63" s="199">
        <f t="shared" si="34"/>
        <v>1.6458756012334099</v>
      </c>
      <c r="T63" s="199">
        <f t="shared" si="34"/>
        <v>1.83243448967637</v>
      </c>
      <c r="U63" s="199">
        <f t="shared" si="34"/>
        <v>2.2621458472537199</v>
      </c>
      <c r="V63" s="199">
        <f t="shared" si="34"/>
        <v>2.62260332728478</v>
      </c>
      <c r="W63" s="199">
        <f t="shared" si="34"/>
        <v>2.7728195662793</v>
      </c>
      <c r="Y63" s="75" t="s">
        <v>419</v>
      </c>
    </row>
    <row r="66" spans="9:23">
      <c r="I66" s="168" t="s">
        <v>33</v>
      </c>
      <c r="J66">
        <f>J9</f>
        <v>20</v>
      </c>
      <c r="K66">
        <f t="shared" ref="K66:W66" si="35">K9</f>
        <v>50</v>
      </c>
      <c r="L66">
        <f t="shared" si="35"/>
        <v>75</v>
      </c>
      <c r="M66">
        <f t="shared" si="35"/>
        <v>100</v>
      </c>
      <c r="N66">
        <f t="shared" si="35"/>
        <v>125</v>
      </c>
      <c r="O66">
        <f t="shared" si="35"/>
        <v>150</v>
      </c>
      <c r="P66">
        <f t="shared" si="35"/>
        <v>175</v>
      </c>
      <c r="Q66">
        <f t="shared" si="35"/>
        <v>200</v>
      </c>
      <c r="R66">
        <f t="shared" si="35"/>
        <v>250</v>
      </c>
      <c r="S66">
        <f t="shared" si="35"/>
        <v>275</v>
      </c>
      <c r="T66">
        <f t="shared" si="35"/>
        <v>300</v>
      </c>
      <c r="U66">
        <f t="shared" si="35"/>
        <v>500</v>
      </c>
      <c r="V66">
        <f t="shared" si="35"/>
        <v>1000</v>
      </c>
      <c r="W66">
        <f t="shared" si="35"/>
        <v>5000</v>
      </c>
    </row>
    <row r="67" spans="9:23">
      <c r="I67" s="176" t="s">
        <v>431</v>
      </c>
      <c r="J67">
        <f>J57</f>
        <v>0.338148057019384</v>
      </c>
      <c r="K67">
        <f t="shared" ref="K67:W67" si="36">K57</f>
        <v>0.2732982250951202</v>
      </c>
      <c r="L67">
        <f t="shared" si="36"/>
        <v>0.31303235134854257</v>
      </c>
      <c r="M67">
        <f t="shared" si="36"/>
        <v>0.36868022112026771</v>
      </c>
      <c r="N67">
        <f t="shared" si="36"/>
        <v>0.41907183192341063</v>
      </c>
      <c r="O67">
        <f t="shared" si="36"/>
        <v>0.46517354863678645</v>
      </c>
      <c r="P67">
        <f t="shared" si="36"/>
        <v>0.50787405041464306</v>
      </c>
      <c r="Q67">
        <f t="shared" si="36"/>
        <v>0.54779368935434458</v>
      </c>
      <c r="R67">
        <f t="shared" si="36"/>
        <v>0.62097228368520674</v>
      </c>
      <c r="S67">
        <f t="shared" si="36"/>
        <v>0.65482948167857857</v>
      </c>
      <c r="T67">
        <f t="shared" si="36"/>
        <v>0.6871602299410362</v>
      </c>
      <c r="U67">
        <f t="shared" si="36"/>
        <v>0.90629543250874312</v>
      </c>
      <c r="V67">
        <f t="shared" si="36"/>
        <v>1.2915420468309027</v>
      </c>
      <c r="W67">
        <f t="shared" si="36"/>
        <v>2.3865618266824757</v>
      </c>
    </row>
    <row r="68" spans="9:23">
      <c r="I68" s="176" t="s">
        <v>432</v>
      </c>
      <c r="J68" s="38">
        <f>J60+J57</f>
        <v>0.78707454535232801</v>
      </c>
      <c r="K68" s="38">
        <f t="shared" ref="K68:W68" si="37">K60+K57</f>
        <v>0.8914459522951359</v>
      </c>
      <c r="L68" s="38">
        <f t="shared" si="37"/>
        <v>1.0528822461873999</v>
      </c>
      <c r="M68" s="38">
        <f t="shared" si="37"/>
        <v>1.15586356544001</v>
      </c>
      <c r="N68" s="38">
        <f t="shared" si="37"/>
        <v>1.27556707084357</v>
      </c>
      <c r="O68" s="38">
        <f t="shared" si="37"/>
        <v>1.3113236625142499</v>
      </c>
      <c r="P68" s="38">
        <f t="shared" si="37"/>
        <v>1.4699418419281498</v>
      </c>
      <c r="Q68" s="38">
        <f t="shared" si="37"/>
        <v>1.5429779079566399</v>
      </c>
      <c r="R68" s="38">
        <f t="shared" si="37"/>
        <v>1.6512729120246099</v>
      </c>
      <c r="S68" s="38">
        <f t="shared" si="37"/>
        <v>1.6458756012334099</v>
      </c>
      <c r="T68" s="38">
        <f t="shared" si="37"/>
        <v>1.83243448967637</v>
      </c>
      <c r="U68" s="38">
        <f t="shared" si="37"/>
        <v>2.2621458472537199</v>
      </c>
      <c r="V68" s="38">
        <f t="shared" si="37"/>
        <v>2.62260332728478</v>
      </c>
      <c r="W68" s="38">
        <f t="shared" si="37"/>
        <v>2.7728195662793</v>
      </c>
    </row>
    <row r="69" spans="9:23" ht="18">
      <c r="I69" s="176" t="s">
        <v>433</v>
      </c>
      <c r="J69" s="202">
        <f>J67/J68</f>
        <v>0.42962646805966082</v>
      </c>
      <c r="K69" s="202">
        <f t="shared" ref="K69:W69" si="38">K67/K68</f>
        <v>0.30657856978483183</v>
      </c>
      <c r="L69" s="202">
        <f t="shared" si="38"/>
        <v>0.29730993421350438</v>
      </c>
      <c r="M69" s="202">
        <f t="shared" si="38"/>
        <v>0.31896517213942965</v>
      </c>
      <c r="N69" s="202">
        <f t="shared" si="38"/>
        <v>0.32853766885520658</v>
      </c>
      <c r="O69" s="202">
        <f t="shared" si="38"/>
        <v>0.35473587637768378</v>
      </c>
      <c r="P69" s="202">
        <f t="shared" si="38"/>
        <v>0.34550622067363923</v>
      </c>
      <c r="Q69" s="202">
        <f t="shared" si="38"/>
        <v>0.35502367631419024</v>
      </c>
      <c r="R69" s="202">
        <f t="shared" si="38"/>
        <v>0.37605672518653416</v>
      </c>
      <c r="S69" s="202">
        <f t="shared" si="38"/>
        <v>0.39786085970765533</v>
      </c>
      <c r="T69" s="202">
        <f t="shared" si="38"/>
        <v>0.3749985245379206</v>
      </c>
      <c r="U69" s="202">
        <f t="shared" si="38"/>
        <v>0.40063527893614809</v>
      </c>
      <c r="V69" s="202">
        <f t="shared" si="38"/>
        <v>0.49246564792856234</v>
      </c>
      <c r="W69" s="202">
        <f t="shared" si="38"/>
        <v>0.86069856679671264</v>
      </c>
    </row>
    <row r="75" spans="9:23">
      <c r="J75" s="26" t="s">
        <v>360</v>
      </c>
    </row>
    <row r="78" spans="9:23">
      <c r="J78" s="26" t="s">
        <v>434</v>
      </c>
    </row>
    <row r="79" spans="9:23">
      <c r="J79" s="26" t="s">
        <v>435</v>
      </c>
    </row>
    <row r="89" spans="9:23">
      <c r="I89" s="168" t="s">
        <v>33</v>
      </c>
      <c r="J89">
        <f>J9</f>
        <v>20</v>
      </c>
      <c r="K89">
        <f t="shared" ref="K89:W89" si="39">K9</f>
        <v>50</v>
      </c>
      <c r="L89">
        <f t="shared" si="39"/>
        <v>75</v>
      </c>
      <c r="M89">
        <f t="shared" si="39"/>
        <v>100</v>
      </c>
      <c r="N89">
        <f t="shared" si="39"/>
        <v>125</v>
      </c>
      <c r="O89">
        <f t="shared" si="39"/>
        <v>150</v>
      </c>
      <c r="P89">
        <f t="shared" si="39"/>
        <v>175</v>
      </c>
      <c r="Q89">
        <f t="shared" si="39"/>
        <v>200</v>
      </c>
      <c r="R89">
        <f t="shared" si="39"/>
        <v>250</v>
      </c>
      <c r="S89">
        <f t="shared" si="39"/>
        <v>275</v>
      </c>
      <c r="T89">
        <f t="shared" si="39"/>
        <v>300</v>
      </c>
      <c r="U89">
        <f t="shared" si="39"/>
        <v>500</v>
      </c>
      <c r="V89">
        <f t="shared" si="39"/>
        <v>1000</v>
      </c>
      <c r="W89">
        <f t="shared" si="39"/>
        <v>5000</v>
      </c>
    </row>
    <row r="90" spans="9:23">
      <c r="I90" s="176" t="s">
        <v>436</v>
      </c>
      <c r="J90" s="38">
        <f>J48</f>
        <v>0.18345254339392572</v>
      </c>
      <c r="K90" s="38">
        <f t="shared" ref="K90:W90" si="40">K48</f>
        <v>0.48172714868480337</v>
      </c>
      <c r="L90" s="38">
        <f t="shared" si="40"/>
        <v>0.69585237059490479</v>
      </c>
      <c r="M90" s="38">
        <f t="shared" si="40"/>
        <v>0.90758171240878571</v>
      </c>
      <c r="N90" s="38">
        <f t="shared" si="40"/>
        <v>1.1716993360709282</v>
      </c>
      <c r="O90" s="38">
        <f t="shared" si="40"/>
        <v>1.4373454327544788</v>
      </c>
      <c r="P90" s="38">
        <f t="shared" si="40"/>
        <v>1.6240325948251835</v>
      </c>
      <c r="Q90" s="38">
        <f t="shared" si="40"/>
        <v>1.8672198618835267</v>
      </c>
      <c r="R90" s="38">
        <f t="shared" si="40"/>
        <v>2.2628291462990457</v>
      </c>
      <c r="S90" s="38">
        <f t="shared" si="40"/>
        <v>2.5369057739688499</v>
      </c>
      <c r="T90" s="38">
        <f t="shared" si="40"/>
        <v>2.7565007965456307</v>
      </c>
      <c r="U90" s="38">
        <f t="shared" si="40"/>
        <v>4.5087674583701336</v>
      </c>
      <c r="V90" s="38">
        <f t="shared" si="40"/>
        <v>9.2557220241121367</v>
      </c>
      <c r="W90" s="38">
        <f t="shared" si="40"/>
        <v>44.298015843935943</v>
      </c>
    </row>
    <row r="91" spans="9:23">
      <c r="I91" s="176" t="s">
        <v>66</v>
      </c>
      <c r="J91" s="38">
        <f>J50+J90</f>
        <v>0.30542556592200598</v>
      </c>
      <c r="K91" s="38">
        <f t="shared" ref="K91:W91" si="41">K50+K90</f>
        <v>0.87744678979605806</v>
      </c>
      <c r="L91" s="38">
        <f t="shared" si="41"/>
        <v>1.2261593121270002</v>
      </c>
      <c r="M91" s="38">
        <f t="shared" si="41"/>
        <v>1.5179355737055999</v>
      </c>
      <c r="N91" s="38">
        <f t="shared" si="41"/>
        <v>1.8514675013987003</v>
      </c>
      <c r="O91" s="38">
        <f t="shared" si="41"/>
        <v>2.1797096133884599</v>
      </c>
      <c r="P91" s="38">
        <f t="shared" si="41"/>
        <v>2.4239335560834201</v>
      </c>
      <c r="Q91" s="38">
        <f t="shared" si="41"/>
        <v>2.7206947206312599</v>
      </c>
      <c r="R91" s="38">
        <f t="shared" si="41"/>
        <v>3.2143342651116296</v>
      </c>
      <c r="S91" s="38">
        <f t="shared" si="41"/>
        <v>3.5337999694923101</v>
      </c>
      <c r="T91" s="38">
        <f t="shared" si="41"/>
        <v>3.7968055295964098</v>
      </c>
      <c r="U91" s="38">
        <f t="shared" si="41"/>
        <v>5.8465350336521</v>
      </c>
      <c r="V91" s="38">
        <f t="shared" si="41"/>
        <v>11.1344126141215</v>
      </c>
      <c r="W91" s="38">
        <f t="shared" si="41"/>
        <v>47.79271519636351</v>
      </c>
    </row>
    <row r="92" spans="9:23">
      <c r="I92" s="176" t="s">
        <v>437</v>
      </c>
      <c r="J92" s="202">
        <f>J90/J91</f>
        <v>0.60064566906875272</v>
      </c>
      <c r="K92" s="202">
        <f t="shared" ref="K92:W92" si="42">K90/K91</f>
        <v>0.5490100987169485</v>
      </c>
      <c r="L92" s="202">
        <f t="shared" si="42"/>
        <v>0.56750567704601129</v>
      </c>
      <c r="M92" s="202">
        <f t="shared" si="42"/>
        <v>0.59790529198363007</v>
      </c>
      <c r="N92" s="202">
        <f t="shared" si="42"/>
        <v>0.63284898880793861</v>
      </c>
      <c r="O92" s="202">
        <f t="shared" si="42"/>
        <v>0.65942060535304903</v>
      </c>
      <c r="P92" s="202">
        <f t="shared" si="42"/>
        <v>0.66999880865104544</v>
      </c>
      <c r="Q92" s="202">
        <f t="shared" si="42"/>
        <v>0.68630260048076663</v>
      </c>
      <c r="R92" s="202">
        <f t="shared" si="42"/>
        <v>0.70398065654209763</v>
      </c>
      <c r="S92" s="202">
        <f t="shared" si="42"/>
        <v>0.71789738974198902</v>
      </c>
      <c r="T92" s="202">
        <f t="shared" si="42"/>
        <v>0.72600526286070788</v>
      </c>
      <c r="U92" s="202">
        <f t="shared" si="42"/>
        <v>0.77118625517816908</v>
      </c>
      <c r="V92" s="202">
        <f t="shared" si="42"/>
        <v>0.83127169298300785</v>
      </c>
      <c r="W92" s="202">
        <f t="shared" si="42"/>
        <v>0.92687799096433265</v>
      </c>
    </row>
    <row r="97" spans="9:10">
      <c r="I97" t="s">
        <v>438</v>
      </c>
    </row>
    <row r="102" spans="9:10">
      <c r="J102" s="26" t="s">
        <v>439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THIS BOOK</vt:lpstr>
      <vt:lpstr>Processing Ivanek Feed Imped</vt:lpstr>
      <vt:lpstr>Figure 2,3 table</vt:lpstr>
      <vt:lpstr>Reverse Calc Test Table 3</vt:lpstr>
      <vt:lpstr>Rail AND Ballast Regression</vt:lpstr>
      <vt:lpstr>New Parasitic Regress I</vt:lpstr>
      <vt:lpstr>Ballast Model USE THIS</vt:lpstr>
      <vt:lpstr>Rectangle Formula</vt:lpstr>
      <vt:lpstr>PAYNE Equations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TEMS</dc:creator>
  <cp:lastModifiedBy>TEMS</cp:lastModifiedBy>
  <dcterms:created xsi:type="dcterms:W3CDTF">2021-02-04T03:36:13Z</dcterms:created>
  <dcterms:modified xsi:type="dcterms:W3CDTF">2021-04-20T05:46:57Z</dcterms:modified>
</cp:coreProperties>
</file>