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chopra/Desktop/"/>
    </mc:Choice>
  </mc:AlternateContent>
  <xr:revisionPtr revIDLastSave="0" documentId="8_{7D0C1229-D714-8C48-BCAB-CCA0A7FB0B60}" xr6:coauthVersionLast="47" xr6:coauthVersionMax="47" xr10:uidLastSave="{00000000-0000-0000-0000-000000000000}"/>
  <bookViews>
    <workbookView xWindow="20" yWindow="500" windowWidth="28800" windowHeight="16080" xr2:uid="{7C9E1841-80F7-3945-8F11-2D0CBF4B4AEC}"/>
  </bookViews>
  <sheets>
    <sheet name="P&amp;L assumptions" sheetId="2" r:id="rId1"/>
    <sheet name="P&amp;L " sheetId="11" r:id="rId2"/>
    <sheet name="P&amp;L Forecast" sheetId="1" r:id="rId3"/>
    <sheet name="Cash flow" sheetId="4" r:id="rId4"/>
    <sheet name="Balance sheet" sheetId="5" r:id="rId5"/>
    <sheet name="  FreeCash Flow" sheetId="3" r:id="rId6"/>
    <sheet name="WACC" sheetId="7" r:id="rId7"/>
    <sheet name="DCF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O29" i="11"/>
  <c r="C27" i="11"/>
  <c r="H25" i="1"/>
  <c r="F25" i="1"/>
  <c r="G25" i="1"/>
  <c r="E25" i="1"/>
  <c r="I22" i="1"/>
  <c r="I21" i="1"/>
  <c r="I20" i="1"/>
  <c r="I7" i="1"/>
  <c r="G7" i="1"/>
  <c r="O7" i="11"/>
  <c r="E21" i="1"/>
  <c r="F7" i="1"/>
  <c r="F20" i="1" s="1"/>
  <c r="E20" i="11"/>
  <c r="O19" i="11"/>
  <c r="C19" i="1" s="1"/>
  <c r="O23" i="11"/>
  <c r="C23" i="1" s="1"/>
  <c r="O28" i="11"/>
  <c r="O30" i="11"/>
  <c r="O32" i="11"/>
  <c r="O33" i="11"/>
  <c r="D10" i="11"/>
  <c r="D13" i="11" s="1"/>
  <c r="D14" i="11" s="1"/>
  <c r="C10" i="11"/>
  <c r="C25" i="11" s="1"/>
  <c r="M10" i="11"/>
  <c r="N10" i="11"/>
  <c r="K10" i="11"/>
  <c r="L10" i="11"/>
  <c r="E10" i="11"/>
  <c r="F10" i="11"/>
  <c r="G10" i="11"/>
  <c r="G13" i="11" s="1"/>
  <c r="G14" i="11" s="1"/>
  <c r="H10" i="11"/>
  <c r="H13" i="11" s="1"/>
  <c r="I10" i="11"/>
  <c r="I13" i="11" s="1"/>
  <c r="J10" i="11"/>
  <c r="J25" i="11" s="1"/>
  <c r="F24" i="11"/>
  <c r="O24" i="11" s="1"/>
  <c r="E24" i="11"/>
  <c r="G9" i="2"/>
  <c r="G14" i="2"/>
  <c r="E22" i="1"/>
  <c r="C21" i="11"/>
  <c r="E20" i="1"/>
  <c r="C7" i="1"/>
  <c r="O8" i="11"/>
  <c r="C8" i="1" s="1"/>
  <c r="O9" i="11"/>
  <c r="O11" i="11"/>
  <c r="O15" i="11"/>
  <c r="O16" i="11"/>
  <c r="O17" i="11"/>
  <c r="C17" i="1" s="1"/>
  <c r="O18" i="11"/>
  <c r="C18" i="1" s="1"/>
  <c r="F20" i="11"/>
  <c r="G20" i="11"/>
  <c r="H20" i="11"/>
  <c r="I20" i="11"/>
  <c r="J20" i="11"/>
  <c r="K20" i="11"/>
  <c r="L20" i="11"/>
  <c r="M20" i="11"/>
  <c r="N20" i="11"/>
  <c r="D21" i="11"/>
  <c r="E21" i="11"/>
  <c r="F21" i="11"/>
  <c r="G21" i="11"/>
  <c r="H21" i="11"/>
  <c r="I21" i="11"/>
  <c r="J21" i="11"/>
  <c r="K21" i="11"/>
  <c r="L21" i="11"/>
  <c r="M21" i="11"/>
  <c r="N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G24" i="11"/>
  <c r="H24" i="11"/>
  <c r="I24" i="11"/>
  <c r="J24" i="11"/>
  <c r="K24" i="11"/>
  <c r="L24" i="11"/>
  <c r="M24" i="11"/>
  <c r="N24" i="11"/>
  <c r="C28" i="1"/>
  <c r="C9" i="1"/>
  <c r="C30" i="1"/>
  <c r="B10" i="7"/>
  <c r="B11" i="7"/>
  <c r="B5" i="7"/>
  <c r="B6" i="7"/>
  <c r="J8" i="3"/>
  <c r="K8" i="3"/>
  <c r="I8" i="3"/>
  <c r="H8" i="3"/>
  <c r="G8" i="3"/>
  <c r="D8" i="3"/>
  <c r="E8" i="3"/>
  <c r="C8" i="3"/>
  <c r="E18" i="4"/>
  <c r="F18" i="4"/>
  <c r="D18" i="4"/>
  <c r="E13" i="4"/>
  <c r="F13" i="4"/>
  <c r="D13" i="4"/>
  <c r="E10" i="2"/>
  <c r="D23" i="5"/>
  <c r="C23" i="5"/>
  <c r="D21" i="5"/>
  <c r="E21" i="5"/>
  <c r="C21" i="5"/>
  <c r="D17" i="5"/>
  <c r="E17" i="5"/>
  <c r="C17" i="5"/>
  <c r="D12" i="5"/>
  <c r="D25" i="5" s="1"/>
  <c r="C12" i="5"/>
  <c r="C25" i="5" s="1"/>
  <c r="E9" i="5"/>
  <c r="E12" i="5" s="1"/>
  <c r="D9" i="5"/>
  <c r="C9" i="5"/>
  <c r="E7" i="4"/>
  <c r="F7" i="4"/>
  <c r="D6" i="3"/>
  <c r="E6" i="3"/>
  <c r="G6" i="3"/>
  <c r="H6" i="3"/>
  <c r="I6" i="3"/>
  <c r="J6" i="3"/>
  <c r="K6" i="3"/>
  <c r="E10" i="1"/>
  <c r="E13" i="1" s="1"/>
  <c r="G21" i="2"/>
  <c r="K10" i="2"/>
  <c r="C21" i="2"/>
  <c r="E15" i="2"/>
  <c r="C15" i="2"/>
  <c r="D10" i="2"/>
  <c r="G10" i="2"/>
  <c r="O22" i="11" l="1"/>
  <c r="O20" i="11"/>
  <c r="O21" i="11"/>
  <c r="C21" i="1" s="1"/>
  <c r="H25" i="11"/>
  <c r="H26" i="11" s="1"/>
  <c r="H27" i="11" s="1"/>
  <c r="H29" i="11" s="1"/>
  <c r="H31" i="11" s="1"/>
  <c r="H14" i="11"/>
  <c r="K13" i="11"/>
  <c r="K14" i="11" s="1"/>
  <c r="C13" i="11"/>
  <c r="C14" i="11" s="1"/>
  <c r="I14" i="11"/>
  <c r="H7" i="1"/>
  <c r="F24" i="1"/>
  <c r="C20" i="1"/>
  <c r="L13" i="11"/>
  <c r="L14" i="11" s="1"/>
  <c r="M13" i="11"/>
  <c r="M14" i="11" s="1"/>
  <c r="C24" i="1"/>
  <c r="O10" i="11"/>
  <c r="C10" i="1" s="1"/>
  <c r="E24" i="1" s="1"/>
  <c r="E13" i="11"/>
  <c r="E14" i="11" s="1"/>
  <c r="C22" i="1"/>
  <c r="I25" i="11"/>
  <c r="I26" i="11" s="1"/>
  <c r="J26" i="11"/>
  <c r="J13" i="11"/>
  <c r="J14" i="11" s="1"/>
  <c r="F10" i="1"/>
  <c r="G24" i="1" s="1"/>
  <c r="F21" i="1"/>
  <c r="F22" i="1"/>
  <c r="C6" i="3"/>
  <c r="D7" i="4"/>
  <c r="C26" i="11"/>
  <c r="G25" i="11"/>
  <c r="G26" i="11" s="1"/>
  <c r="N25" i="11"/>
  <c r="N26" i="11" s="1"/>
  <c r="N13" i="11"/>
  <c r="N14" i="11" s="1"/>
  <c r="F13" i="11"/>
  <c r="F14" i="11" s="1"/>
  <c r="M25" i="11"/>
  <c r="M26" i="11" s="1"/>
  <c r="E25" i="11"/>
  <c r="E26" i="11" s="1"/>
  <c r="L25" i="11"/>
  <c r="L26" i="11" s="1"/>
  <c r="D25" i="11"/>
  <c r="F25" i="11"/>
  <c r="F26" i="11" s="1"/>
  <c r="K25" i="11"/>
  <c r="K26" i="11" s="1"/>
  <c r="E23" i="5"/>
  <c r="E25" i="5"/>
  <c r="G20" i="2"/>
  <c r="E14" i="1"/>
  <c r="O25" i="11" l="1"/>
  <c r="C25" i="1" s="1"/>
  <c r="I27" i="11"/>
  <c r="I29" i="11" s="1"/>
  <c r="I31" i="11" s="1"/>
  <c r="K27" i="11"/>
  <c r="K29" i="11" s="1"/>
  <c r="K31" i="11" s="1"/>
  <c r="K34" i="11" s="1"/>
  <c r="E26" i="1"/>
  <c r="E27" i="1" s="1"/>
  <c r="E29" i="1" s="1"/>
  <c r="E31" i="1" s="1"/>
  <c r="G20" i="1"/>
  <c r="G21" i="1"/>
  <c r="J27" i="11"/>
  <c r="J29" i="11" s="1"/>
  <c r="J31" i="11" s="1"/>
  <c r="J34" i="11" s="1"/>
  <c r="L27" i="11"/>
  <c r="L29" i="11" s="1"/>
  <c r="L31" i="11" s="1"/>
  <c r="M27" i="11"/>
  <c r="M29" i="11" s="1"/>
  <c r="M31" i="11" s="1"/>
  <c r="N27" i="11"/>
  <c r="N29" i="11" s="1"/>
  <c r="N31" i="11" s="1"/>
  <c r="N34" i="11" s="1"/>
  <c r="E27" i="11"/>
  <c r="E29" i="11" s="1"/>
  <c r="E31" i="11" s="1"/>
  <c r="E34" i="11" s="1"/>
  <c r="G10" i="1"/>
  <c r="H24" i="1" s="1"/>
  <c r="G22" i="1"/>
  <c r="F13" i="1"/>
  <c r="F14" i="1" s="1"/>
  <c r="F26" i="1"/>
  <c r="H34" i="11"/>
  <c r="F27" i="11"/>
  <c r="F29" i="11" s="1"/>
  <c r="F31" i="11" s="1"/>
  <c r="O13" i="11"/>
  <c r="C13" i="1" s="1"/>
  <c r="G27" i="11"/>
  <c r="G29" i="11" s="1"/>
  <c r="G31" i="11" s="1"/>
  <c r="I34" i="11"/>
  <c r="D26" i="11"/>
  <c r="D27" i="11" s="1"/>
  <c r="D29" i="11" s="1"/>
  <c r="D31" i="11" s="1"/>
  <c r="L34" i="11"/>
  <c r="M34" i="11"/>
  <c r="E21" i="2"/>
  <c r="D21" i="2"/>
  <c r="K21" i="2"/>
  <c r="J21" i="2"/>
  <c r="I21" i="2"/>
  <c r="H21" i="2"/>
  <c r="K15" i="2"/>
  <c r="J15" i="2"/>
  <c r="I15" i="2"/>
  <c r="H15" i="2"/>
  <c r="G15" i="2"/>
  <c r="D15" i="2"/>
  <c r="H10" i="2"/>
  <c r="J10" i="2"/>
  <c r="I10" i="2"/>
  <c r="O27" i="11" l="1"/>
  <c r="O26" i="11"/>
  <c r="C26" i="1" s="1"/>
  <c r="O14" i="11"/>
  <c r="C14" i="1" s="1"/>
  <c r="F27" i="1"/>
  <c r="F29" i="1" s="1"/>
  <c r="F31" i="1" s="1"/>
  <c r="F34" i="1" s="1"/>
  <c r="G26" i="1"/>
  <c r="G13" i="1"/>
  <c r="G14" i="1" s="1"/>
  <c r="H22" i="1"/>
  <c r="H10" i="1"/>
  <c r="H21" i="1"/>
  <c r="H20" i="1"/>
  <c r="E34" i="1"/>
  <c r="D34" i="11"/>
  <c r="C29" i="11"/>
  <c r="C27" i="1"/>
  <c r="B12" i="7" s="1"/>
  <c r="F34" i="11"/>
  <c r="G34" i="11"/>
  <c r="D5" i="3"/>
  <c r="D9" i="3" s="1"/>
  <c r="D5" i="9" s="1"/>
  <c r="E6" i="4"/>
  <c r="E8" i="4" s="1"/>
  <c r="E19" i="4" s="1"/>
  <c r="E20" i="4" s="1"/>
  <c r="H9" i="2"/>
  <c r="I24" i="1" l="1"/>
  <c r="G27" i="1"/>
  <c r="G29" i="1" s="1"/>
  <c r="G31" i="1" s="1"/>
  <c r="G34" i="1" s="1"/>
  <c r="H13" i="1"/>
  <c r="H14" i="1" s="1"/>
  <c r="H26" i="1"/>
  <c r="I10" i="1"/>
  <c r="I25" i="1" s="1"/>
  <c r="C29" i="1"/>
  <c r="C5" i="3" s="1"/>
  <c r="C9" i="3" s="1"/>
  <c r="C5" i="9" s="1"/>
  <c r="C31" i="11"/>
  <c r="O31" i="11" s="1"/>
  <c r="H20" i="2"/>
  <c r="H14" i="2"/>
  <c r="I9" i="2"/>
  <c r="D6" i="4" l="1"/>
  <c r="D8" i="4" s="1"/>
  <c r="D19" i="4" s="1"/>
  <c r="D20" i="4" s="1"/>
  <c r="I26" i="1"/>
  <c r="H27" i="1"/>
  <c r="H29" i="1" s="1"/>
  <c r="H31" i="1" s="1"/>
  <c r="I13" i="1"/>
  <c r="I14" i="1" s="1"/>
  <c r="F6" i="4"/>
  <c r="F8" i="4" s="1"/>
  <c r="F19" i="4" s="1"/>
  <c r="F20" i="4" s="1"/>
  <c r="E5" i="3"/>
  <c r="E9" i="3" s="1"/>
  <c r="E5" i="9" s="1"/>
  <c r="C34" i="11"/>
  <c r="O34" i="11" s="1"/>
  <c r="C31" i="1"/>
  <c r="C34" i="1" s="1"/>
  <c r="J9" i="2"/>
  <c r="I14" i="2"/>
  <c r="I20" i="2"/>
  <c r="I27" i="1" l="1"/>
  <c r="I29" i="1" s="1"/>
  <c r="I31" i="1" s="1"/>
  <c r="I33" i="1" s="1"/>
  <c r="I34" i="1" s="1"/>
  <c r="H33" i="1"/>
  <c r="H34" i="1" s="1"/>
  <c r="G5" i="3"/>
  <c r="G9" i="3" s="1"/>
  <c r="G5" i="9" s="1"/>
  <c r="G8" i="9" s="1"/>
  <c r="J20" i="2"/>
  <c r="K9" i="2"/>
  <c r="J14" i="2"/>
  <c r="H5" i="3" l="1"/>
  <c r="H9" i="3" s="1"/>
  <c r="H5" i="9" s="1"/>
  <c r="H8" i="9" s="1"/>
  <c r="K20" i="2"/>
  <c r="K14" i="2"/>
  <c r="I5" i="3" l="1"/>
  <c r="I9" i="3" s="1"/>
  <c r="I5" i="9" s="1"/>
  <c r="I8" i="9" s="1"/>
  <c r="J5" i="3"/>
  <c r="J9" i="3" s="1"/>
  <c r="J5" i="9" s="1"/>
  <c r="J8" i="9" s="1"/>
  <c r="K5" i="3" l="1"/>
  <c r="K9" i="3" s="1"/>
  <c r="K5" i="9" s="1"/>
  <c r="C13" i="9" l="1"/>
  <c r="C14" i="9" s="1"/>
  <c r="K8" i="9"/>
  <c r="C10" i="9" s="1"/>
  <c r="C15" i="9" l="1"/>
</calcChain>
</file>

<file path=xl/sharedStrings.xml><?xml version="1.0" encoding="utf-8"?>
<sst xmlns="http://schemas.openxmlformats.org/spreadsheetml/2006/main" count="182" uniqueCount="120">
  <si>
    <t>P&amp;L</t>
  </si>
  <si>
    <t>Revenues</t>
  </si>
  <si>
    <t>Total Revenues</t>
  </si>
  <si>
    <t>Cost Of Goods Sold</t>
  </si>
  <si>
    <t>EBITDA</t>
  </si>
  <si>
    <t>d&amp;a</t>
  </si>
  <si>
    <t>EBIT</t>
  </si>
  <si>
    <t>EBT</t>
  </si>
  <si>
    <t xml:space="preserve">tax rate </t>
  </si>
  <si>
    <t>taxes</t>
  </si>
  <si>
    <t>net income</t>
  </si>
  <si>
    <t>FY22
Actual</t>
  </si>
  <si>
    <t>FY23
Actual</t>
  </si>
  <si>
    <t>FY24
Actual</t>
  </si>
  <si>
    <t>FY25
Forecast</t>
  </si>
  <si>
    <t>FY26
Forecast</t>
  </si>
  <si>
    <t>FY27
Forecast</t>
  </si>
  <si>
    <t>FY28
Forecast</t>
  </si>
  <si>
    <t>FY29
Forecast</t>
  </si>
  <si>
    <t>P&amp;L assumptions</t>
  </si>
  <si>
    <t>Scenarios:</t>
  </si>
  <si>
    <t>Case 1:</t>
  </si>
  <si>
    <t>Optimistic case</t>
  </si>
  <si>
    <t>Case 2:</t>
  </si>
  <si>
    <t>Base case</t>
  </si>
  <si>
    <t>Selected case</t>
  </si>
  <si>
    <t>Case 3:</t>
  </si>
  <si>
    <t>Worst case</t>
  </si>
  <si>
    <t>y-o-y growth%</t>
  </si>
  <si>
    <t>Case 1</t>
  </si>
  <si>
    <t>Case 2</t>
  </si>
  <si>
    <t>Case 3</t>
  </si>
  <si>
    <t>Cost of goods sold</t>
  </si>
  <si>
    <t>% of revenues</t>
  </si>
  <si>
    <t>Operating expenses</t>
  </si>
  <si>
    <t xml:space="preserve">Material consumed </t>
  </si>
  <si>
    <t>Gross Profit</t>
  </si>
  <si>
    <t>Rent</t>
  </si>
  <si>
    <t>Salaries/Wages</t>
  </si>
  <si>
    <t>Other Revenue</t>
  </si>
  <si>
    <t>Online sales</t>
  </si>
  <si>
    <t>Offline sales</t>
  </si>
  <si>
    <t>d&amp;a(+)</t>
  </si>
  <si>
    <t>CASH FLOWS FROM OPERATING ACTIVITIES</t>
  </si>
  <si>
    <t>CASH FLOWS FROM INVESTING ACTIVITIES</t>
  </si>
  <si>
    <t>CASH FLOWS FROM FINANCING ACTIVITIES</t>
  </si>
  <si>
    <t>Purchased machinery</t>
  </si>
  <si>
    <t>Net income</t>
  </si>
  <si>
    <t>Assets</t>
  </si>
  <si>
    <t>Current Assets</t>
  </si>
  <si>
    <t>Cash</t>
  </si>
  <si>
    <t>Inventory</t>
  </si>
  <si>
    <t>Total current assets</t>
  </si>
  <si>
    <t>Non current assets</t>
  </si>
  <si>
    <t xml:space="preserve">Plant and machinery </t>
  </si>
  <si>
    <t>Total assets</t>
  </si>
  <si>
    <t>Liabilities</t>
  </si>
  <si>
    <t>Current Liabilities</t>
  </si>
  <si>
    <t>Account Payable</t>
  </si>
  <si>
    <t>Total Liabilities</t>
  </si>
  <si>
    <t xml:space="preserve">Shareholder's equity </t>
  </si>
  <si>
    <t>Capital</t>
  </si>
  <si>
    <t xml:space="preserve">Total shareholder's equity </t>
  </si>
  <si>
    <t>Total liabilities and equity</t>
  </si>
  <si>
    <t>Particulars</t>
  </si>
  <si>
    <t>Check</t>
  </si>
  <si>
    <t>Cash from operations</t>
  </si>
  <si>
    <t>Cash at beginning of year</t>
  </si>
  <si>
    <t>Cash at end of year</t>
  </si>
  <si>
    <t>Cash used in investing</t>
  </si>
  <si>
    <t xml:space="preserve"> Plus depreciation and amortization</t>
  </si>
  <si>
    <t>Net increase in cash</t>
  </si>
  <si>
    <t>capex(-)</t>
  </si>
  <si>
    <t>net working capital(-)</t>
  </si>
  <si>
    <t>Free cash flow</t>
  </si>
  <si>
    <t>WACC Calculation</t>
  </si>
  <si>
    <t>Equity value</t>
  </si>
  <si>
    <t>Debt value</t>
  </si>
  <si>
    <t>Cost of Debt</t>
  </si>
  <si>
    <t>Tax rate</t>
  </si>
  <si>
    <t>Cost of Equity</t>
  </si>
  <si>
    <t>WACC</t>
  </si>
  <si>
    <t>E / E+D</t>
  </si>
  <si>
    <t>D / E+D</t>
  </si>
  <si>
    <t>Present value</t>
  </si>
  <si>
    <t>Year</t>
  </si>
  <si>
    <t>Terminal value</t>
  </si>
  <si>
    <t>Growth rate</t>
  </si>
  <si>
    <t>PV of terminal value</t>
  </si>
  <si>
    <t>Enterprise value</t>
  </si>
  <si>
    <t>Sum of present value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</si>
  <si>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</si>
  <si>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</si>
  <si>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</si>
  <si>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</si>
  <si>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</si>
  <si>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</si>
  <si>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</si>
  <si>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</si>
  <si>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</si>
  <si>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</si>
  <si>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</si>
  <si>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</si>
  <si>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Electricity</t>
  </si>
  <si>
    <t>Marketing expenses</t>
  </si>
  <si>
    <t>Marketplaces expenses(myntra5%)</t>
  </si>
  <si>
    <t>Shipping expenses(delhivery)</t>
  </si>
  <si>
    <t>Payment gateway expenses(razorpay 2%)</t>
  </si>
  <si>
    <t xml:space="preserve">Website Maintenance cost </t>
  </si>
  <si>
    <t>Packaging expenses</t>
  </si>
  <si>
    <t>Total operating expenses</t>
  </si>
  <si>
    <t xml:space="preserve">Marketplaces expenses(myntra5%) </t>
  </si>
  <si>
    <t xml:space="preserve">Payment gateway expenses(razorpay 2%) </t>
  </si>
  <si>
    <t xml:space="preserve">Website Maintenance cost  </t>
  </si>
  <si>
    <t xml:space="preserve">Marketing expenses </t>
  </si>
  <si>
    <t xml:space="preserve">Packaging expenses </t>
  </si>
  <si>
    <t xml:space="preserve">Total operating expenses </t>
  </si>
  <si>
    <t>Interest</t>
  </si>
  <si>
    <t xml:space="preserve">  </t>
  </si>
  <si>
    <t>GLITZY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</si>
</sst>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₹&quot;#,##0.00_);[Red]\(&quot;₹&quot;#,##0.00\)"/>
    <numFmt numFmtId="165" formatCode="_(&quot;₹&quot;* #,##0.00_);_(&quot;₹&quot;* \(#,##0.00\);_(&quot;₹&quot;* &quot;-&quot;??_);_(@_)"/>
    <numFmt numFmtId="166" formatCode="_(* #,##0.0_);_(* \(#,##0.0\);_(* &quot;-&quot;?_);@_)"/>
    <numFmt numFmtId="167" formatCode="_(* #,##0_);_(* \(#,##0\);_(* &quot;-&quot;?_);@_)"/>
    <numFmt numFmtId="168" formatCode="0.0%"/>
    <numFmt numFmtId="169" formatCode="_(* #,##0_);_(* \(#,##0\);_(* &quot;-&quot;??_);_(@_)"/>
    <numFmt numFmtId="170" formatCode="#,##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4"/>
      <color theme="0"/>
      <name val="Arial"/>
      <family val="2"/>
    </font>
    <font>
      <b/>
      <sz val="14"/>
      <color rgb="FF002060"/>
      <name val="Arial"/>
      <family val="2"/>
    </font>
    <font>
      <b/>
      <sz val="11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4" tint="-0.49998474074526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54">
    <xf numFmtId="0" fontId="0" fillId="0" borderId="0" xfId="0"/>
    <xf numFmtId="166" fontId="2" fillId="2" borderId="0" xfId="0" applyNumberFormat="1" applyFont="1" applyFill="1"/>
    <xf numFmtId="166" fontId="3" fillId="2" borderId="1" xfId="0" applyNumberFormat="1" applyFont="1" applyFill="1" applyBorder="1" applyAlignment="1">
      <alignment horizontal="right" wrapText="1"/>
    </xf>
    <xf numFmtId="166" fontId="3" fillId="2" borderId="0" xfId="0" applyNumberFormat="1" applyFont="1" applyFill="1" applyAlignment="1">
      <alignment horizontal="right" wrapText="1"/>
    </xf>
    <xf numFmtId="0" fontId="0" fillId="2" borderId="0" xfId="0" applyFill="1"/>
    <xf numFmtId="166" fontId="3" fillId="2" borderId="0" xfId="0" applyNumberFormat="1" applyFont="1" applyFill="1" applyAlignment="1">
      <alignment wrapText="1"/>
    </xf>
    <xf numFmtId="166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9" fontId="0" fillId="2" borderId="0" xfId="0" applyNumberFormat="1" applyFill="1"/>
    <xf numFmtId="169" fontId="0" fillId="2" borderId="0" xfId="0" applyNumberFormat="1" applyFill="1"/>
    <xf numFmtId="0" fontId="4" fillId="3" borderId="2" xfId="0" applyFont="1" applyFill="1" applyBorder="1"/>
    <xf numFmtId="166" fontId="1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left"/>
    </xf>
    <xf numFmtId="167" fontId="0" fillId="2" borderId="0" xfId="0" applyNumberFormat="1" applyFill="1" applyAlignment="1">
      <alignment horizontal="left"/>
    </xf>
    <xf numFmtId="166" fontId="6" fillId="2" borderId="1" xfId="0" applyNumberFormat="1" applyFont="1" applyFill="1" applyBorder="1" applyAlignment="1">
      <alignment horizontal="right" wrapText="1"/>
    </xf>
    <xf numFmtId="166" fontId="6" fillId="2" borderId="1" xfId="0" applyNumberFormat="1" applyFont="1" applyFill="1" applyBorder="1" applyAlignment="1">
      <alignment horizontal="left" wrapText="1"/>
    </xf>
    <xf numFmtId="166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left"/>
    </xf>
    <xf numFmtId="166" fontId="7" fillId="2" borderId="0" xfId="0" applyNumberFormat="1" applyFont="1" applyFill="1"/>
    <xf numFmtId="166" fontId="7" fillId="2" borderId="1" xfId="0" applyNumberFormat="1" applyFont="1" applyFill="1" applyBorder="1"/>
    <xf numFmtId="0" fontId="9" fillId="2" borderId="0" xfId="0" applyFont="1" applyFill="1"/>
    <xf numFmtId="0" fontId="1" fillId="2" borderId="0" xfId="0" applyFont="1" applyFill="1"/>
    <xf numFmtId="0" fontId="0" fillId="2" borderId="3" xfId="0" applyFill="1" applyBorder="1"/>
    <xf numFmtId="166" fontId="3" fillId="2" borderId="3" xfId="0" applyNumberFormat="1" applyFont="1" applyFill="1" applyBorder="1" applyAlignment="1">
      <alignment horizontal="left" wrapText="1"/>
    </xf>
    <xf numFmtId="166" fontId="3" fillId="2" borderId="3" xfId="0" applyNumberFormat="1" applyFont="1" applyFill="1" applyBorder="1" applyAlignment="1">
      <alignment horizontal="right" wrapText="1"/>
    </xf>
    <xf numFmtId="166" fontId="6" fillId="2" borderId="0" xfId="0" applyNumberFormat="1" applyFont="1" applyFill="1" applyAlignment="1">
      <alignment horizontal="right" wrapText="1"/>
    </xf>
    <xf numFmtId="166" fontId="6" fillId="2" borderId="0" xfId="0" applyNumberFormat="1" applyFont="1" applyFill="1" applyAlignment="1">
      <alignment horizontal="left" wrapText="1"/>
    </xf>
    <xf numFmtId="0" fontId="10" fillId="2" borderId="0" xfId="0" applyFont="1" applyFill="1"/>
    <xf numFmtId="9" fontId="0" fillId="2" borderId="0" xfId="1" applyFont="1" applyFill="1"/>
    <xf numFmtId="1" fontId="0" fillId="2" borderId="0" xfId="0" applyNumberFormat="1" applyFill="1"/>
    <xf numFmtId="0" fontId="0" fillId="4" borderId="0" xfId="0" applyFill="1"/>
    <xf numFmtId="1" fontId="0" fillId="4" borderId="0" xfId="0" applyNumberFormat="1" applyFill="1"/>
    <xf numFmtId="0" fontId="13" fillId="2" borderId="0" xfId="0" applyFont="1" applyFill="1"/>
    <xf numFmtId="9" fontId="13" fillId="2" borderId="0" xfId="0" applyNumberFormat="1" applyFont="1" applyFill="1"/>
    <xf numFmtId="0" fontId="11" fillId="2" borderId="6" xfId="0" applyFont="1" applyFill="1" applyBorder="1"/>
    <xf numFmtId="168" fontId="11" fillId="5" borderId="6" xfId="0" applyNumberFormat="1" applyFont="1" applyFill="1" applyBorder="1"/>
    <xf numFmtId="168" fontId="0" fillId="2" borderId="0" xfId="1" applyNumberFormat="1" applyFont="1" applyFill="1"/>
    <xf numFmtId="164" fontId="0" fillId="2" borderId="0" xfId="0" applyNumberFormat="1" applyFill="1"/>
    <xf numFmtId="0" fontId="14" fillId="2" borderId="7" xfId="0" applyFont="1" applyFill="1" applyBorder="1" applyAlignment="1">
      <alignment horizontal="center"/>
    </xf>
    <xf numFmtId="166" fontId="15" fillId="2" borderId="7" xfId="0" applyNumberFormat="1" applyFont="1" applyFill="1" applyBorder="1"/>
    <xf numFmtId="3" fontId="0" fillId="2" borderId="0" xfId="0" applyNumberFormat="1" applyFill="1"/>
    <xf numFmtId="166" fontId="7" fillId="2" borderId="3" xfId="0" applyNumberFormat="1" applyFont="1" applyFill="1" applyBorder="1"/>
    <xf numFmtId="3" fontId="0" fillId="2" borderId="3" xfId="0" applyNumberFormat="1" applyFill="1" applyBorder="1"/>
    <xf numFmtId="0" fontId="0" fillId="2" borderId="0" xfId="2" applyNumberFormat="1" applyFont="1" applyFill="1"/>
    <xf numFmtId="170" fontId="0" fillId="2" borderId="0" xfId="0" applyNumberFormat="1" applyFill="1"/>
    <xf numFmtId="0" fontId="16" fillId="6" borderId="0" xfId="0" applyFont="1" applyFill="1"/>
    <xf numFmtId="166" fontId="16" fillId="6" borderId="0" xfId="0" applyNumberFormat="1" applyFont="1" applyFill="1"/>
    <xf numFmtId="0" fontId="0" fillId="2" borderId="3" xfId="3" applyNumberFormat="1" applyFont="1" applyFill="1" applyBorder="1"/>
    <xf numFmtId="0" fontId="17" fillId="2" borderId="0" xfId="0" applyFont="1" applyFill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2" borderId="5" xfId="0" applyFont="1" applyFill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59D2-DF1D-F349-8D62-68C32FE74C1D}">
  <dimension ref="A1:N61"/>
  <sheetViews>
    <sheetView tabSelected="1" zoomScale="120" zoomScaleNormal="120" workbookViewId="0">
      <selection activeCell="E5" sqref="E5"/>
    </sheetView>
  </sheetViews>
  <sheetFormatPr baseColWidth="10" defaultRowHeight="16" x14ac:dyDescent="0.2"/>
  <cols>
    <col min="1" max="1" width="3.6640625" style="4" customWidth="1"/>
    <col min="2" max="2" width="22.5" style="4" bestFit="1" customWidth="1"/>
    <col min="3" max="5" width="13.6640625" style="4" bestFit="1" customWidth="1"/>
    <col min="6" max="6" width="3.6640625" style="4" customWidth="1"/>
    <col min="7" max="11" width="16" style="4" bestFit="1" customWidth="1"/>
    <col min="12" max="16384" width="10.83203125" style="4"/>
  </cols>
  <sheetData>
    <row r="1" spans="1:14" ht="18" x14ac:dyDescent="0.2">
      <c r="B1" s="13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6"/>
      <c r="B2" s="6"/>
      <c r="C2" s="6"/>
      <c r="D2" s="6"/>
      <c r="E2" s="6"/>
      <c r="F2" s="6"/>
      <c r="G2" s="19" t="s">
        <v>20</v>
      </c>
      <c r="H2" s="6"/>
      <c r="I2" s="6"/>
      <c r="J2" s="6"/>
      <c r="K2" s="6"/>
      <c r="L2" s="6"/>
      <c r="M2" s="6"/>
      <c r="N2" s="6"/>
    </row>
    <row r="3" spans="1:14" x14ac:dyDescent="0.2">
      <c r="A3" s="6"/>
      <c r="B3" s="6"/>
      <c r="C3" s="6"/>
      <c r="D3" s="6"/>
      <c r="E3" s="6"/>
      <c r="F3" s="6"/>
      <c r="G3" s="19" t="s">
        <v>21</v>
      </c>
      <c r="H3" s="20" t="s">
        <v>22</v>
      </c>
      <c r="I3" s="6"/>
      <c r="J3" s="6"/>
      <c r="K3" s="6"/>
      <c r="L3" s="6"/>
      <c r="M3" s="6"/>
      <c r="N3" s="6"/>
    </row>
    <row r="4" spans="1:14" ht="17" thickBot="1" x14ac:dyDescent="0.25">
      <c r="A4" s="6"/>
      <c r="B4" s="6"/>
      <c r="C4" s="6"/>
      <c r="D4" s="6"/>
      <c r="E4" s="6"/>
      <c r="F4" s="6"/>
      <c r="G4" s="19" t="s">
        <v>23</v>
      </c>
      <c r="H4" s="20" t="s">
        <v>24</v>
      </c>
      <c r="I4" s="6"/>
      <c r="J4" s="6"/>
      <c r="K4" s="6"/>
      <c r="L4" s="6"/>
      <c r="M4" s="6"/>
      <c r="N4" s="6"/>
    </row>
    <row r="5" spans="1:14" ht="19" thickBot="1" x14ac:dyDescent="0.25">
      <c r="A5" s="6"/>
      <c r="B5" s="12" t="s">
        <v>25</v>
      </c>
      <c r="C5" s="11">
        <v>1</v>
      </c>
      <c r="D5" s="6"/>
      <c r="E5" s="6"/>
      <c r="F5" s="6"/>
      <c r="G5" s="19" t="s">
        <v>26</v>
      </c>
      <c r="H5" s="20" t="s">
        <v>27</v>
      </c>
      <c r="I5" s="6"/>
      <c r="J5" s="6"/>
      <c r="K5" s="6"/>
      <c r="L5" s="6"/>
      <c r="M5" s="6"/>
      <c r="N5" s="6"/>
    </row>
    <row r="6" spans="1:14" x14ac:dyDescent="0.2">
      <c r="G6" s="14"/>
    </row>
    <row r="7" spans="1:14" x14ac:dyDescent="0.2">
      <c r="A7" s="6"/>
      <c r="B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" customFormat="1" ht="31" thickBot="1" x14ac:dyDescent="0.2">
      <c r="B8" s="18"/>
      <c r="C8" s="17" t="s">
        <v>11</v>
      </c>
      <c r="D8" s="17" t="s">
        <v>12</v>
      </c>
      <c r="E8" s="17" t="s">
        <v>13</v>
      </c>
      <c r="F8" s="17"/>
      <c r="G8" s="17" t="s">
        <v>14</v>
      </c>
      <c r="H8" s="17" t="s">
        <v>15</v>
      </c>
      <c r="I8" s="17" t="s">
        <v>16</v>
      </c>
      <c r="J8" s="17" t="s">
        <v>17</v>
      </c>
      <c r="K8" s="17" t="s">
        <v>18</v>
      </c>
    </row>
    <row r="9" spans="1:14" x14ac:dyDescent="0.2">
      <c r="A9" s="6"/>
      <c r="B9" s="6" t="s">
        <v>1</v>
      </c>
      <c r="C9" s="16">
        <v>1000000</v>
      </c>
      <c r="D9" s="16">
        <v>1500000</v>
      </c>
      <c r="E9" s="16">
        <v>2500000</v>
      </c>
      <c r="F9" s="15"/>
      <c r="G9" s="16">
        <f>E9*(1+G10)</f>
        <v>4500000</v>
      </c>
      <c r="H9" s="16">
        <f>G9*(1+H10)</f>
        <v>8325000</v>
      </c>
      <c r="I9" s="16">
        <f>H9*(1+I10)</f>
        <v>15651000</v>
      </c>
      <c r="J9" s="16">
        <f>I9*(1+J10)</f>
        <v>29423880</v>
      </c>
      <c r="K9" s="16">
        <f>J9*(1+K10)</f>
        <v>55316894.399999999</v>
      </c>
      <c r="L9" s="6"/>
      <c r="M9" s="6"/>
      <c r="N9" s="6"/>
    </row>
    <row r="10" spans="1:14" x14ac:dyDescent="0.2">
      <c r="A10" s="6"/>
      <c r="B10" s="6" t="s">
        <v>28</v>
      </c>
      <c r="C10" s="7"/>
      <c r="D10" s="9">
        <f>D9/C9-1</f>
        <v>0.5</v>
      </c>
      <c r="E10" s="9">
        <f>E9/D9-1</f>
        <v>0.66666666666666674</v>
      </c>
      <c r="F10" s="6"/>
      <c r="G10" s="9">
        <f>CHOOSE($C$5,G11,G12,G13)</f>
        <v>0.8</v>
      </c>
      <c r="H10" s="9">
        <f>CHOOSE($C$5,H11,H12,H13)</f>
        <v>0.85</v>
      </c>
      <c r="I10" s="9">
        <f t="shared" ref="I10:J10" si="0">CHOOSE($C$5,I11,I12,I13)</f>
        <v>0.88</v>
      </c>
      <c r="J10" s="9">
        <f t="shared" si="0"/>
        <v>0.88</v>
      </c>
      <c r="K10" s="9">
        <f>CHOOSE($C$5,K11,K12,K13)</f>
        <v>0.88</v>
      </c>
      <c r="L10" s="6"/>
      <c r="M10" s="6"/>
      <c r="N10" s="6"/>
    </row>
    <row r="11" spans="1:14" x14ac:dyDescent="0.2">
      <c r="A11" s="6"/>
      <c r="B11" s="6" t="s">
        <v>21</v>
      </c>
      <c r="C11" s="6"/>
      <c r="D11" s="6"/>
      <c r="E11" s="6"/>
      <c r="F11" s="6"/>
      <c r="G11" s="9">
        <v>0.8</v>
      </c>
      <c r="H11" s="9">
        <v>0.85</v>
      </c>
      <c r="I11" s="9">
        <v>0.88</v>
      </c>
      <c r="J11" s="9">
        <v>0.88</v>
      </c>
      <c r="K11" s="9">
        <v>0.88</v>
      </c>
      <c r="L11" s="6"/>
      <c r="M11" s="6"/>
      <c r="N11" s="6"/>
    </row>
    <row r="12" spans="1:14" x14ac:dyDescent="0.2">
      <c r="A12" s="6"/>
      <c r="B12" s="6" t="s">
        <v>23</v>
      </c>
      <c r="C12" s="6"/>
      <c r="D12" s="6"/>
      <c r="E12" s="6"/>
      <c r="F12" s="6"/>
      <c r="G12" s="9">
        <v>0.6</v>
      </c>
      <c r="H12" s="9">
        <v>0.65</v>
      </c>
      <c r="I12" s="9">
        <v>0.7</v>
      </c>
      <c r="J12" s="9">
        <v>0.8</v>
      </c>
      <c r="K12" s="9">
        <v>0.82</v>
      </c>
      <c r="L12" s="6"/>
      <c r="M12" s="6"/>
      <c r="N12" s="6"/>
    </row>
    <row r="13" spans="1:14" x14ac:dyDescent="0.2">
      <c r="A13" s="6"/>
      <c r="B13" s="6" t="s">
        <v>26</v>
      </c>
      <c r="C13" s="6"/>
      <c r="D13" s="6"/>
      <c r="E13" s="6"/>
      <c r="F13" s="6"/>
      <c r="G13" s="9">
        <v>0.5</v>
      </c>
      <c r="H13" s="9">
        <v>0.55000000000000004</v>
      </c>
      <c r="I13" s="9">
        <v>0.6</v>
      </c>
      <c r="J13" s="9">
        <v>0.65</v>
      </c>
      <c r="K13" s="9">
        <v>0.7</v>
      </c>
      <c r="L13" s="6"/>
      <c r="M13" s="6"/>
      <c r="N13" s="6"/>
    </row>
    <row r="14" spans="1:14" x14ac:dyDescent="0.2">
      <c r="A14" s="6"/>
      <c r="B14" s="6" t="s">
        <v>32</v>
      </c>
      <c r="C14" s="7">
        <v>500000</v>
      </c>
      <c r="D14" s="7">
        <v>675000</v>
      </c>
      <c r="E14" s="7">
        <v>1000000</v>
      </c>
      <c r="F14" s="6"/>
      <c r="G14" s="10">
        <f>G15*G9</f>
        <v>1800000</v>
      </c>
      <c r="H14" s="10">
        <f>H15*H9</f>
        <v>3330000</v>
      </c>
      <c r="I14" s="10">
        <f>I15*I9</f>
        <v>6260400</v>
      </c>
      <c r="J14" s="10">
        <f>J15*J9</f>
        <v>11769552</v>
      </c>
      <c r="K14" s="10">
        <f>K15*K9</f>
        <v>22126757.760000002</v>
      </c>
      <c r="L14" s="6"/>
      <c r="M14" s="6"/>
      <c r="N14" s="6"/>
    </row>
    <row r="15" spans="1:14" x14ac:dyDescent="0.2">
      <c r="A15" s="6"/>
      <c r="B15" s="6" t="s">
        <v>33</v>
      </c>
      <c r="C15" s="9">
        <f>C14/C9</f>
        <v>0.5</v>
      </c>
      <c r="D15" s="9">
        <f>D14/D9</f>
        <v>0.45</v>
      </c>
      <c r="E15" s="9">
        <f>E14/E9</f>
        <v>0.4</v>
      </c>
      <c r="F15" s="6"/>
      <c r="G15" s="9">
        <f t="shared" ref="G15:K15" si="1">CHOOSE($C$5,G16,G17,G18)</f>
        <v>0.4</v>
      </c>
      <c r="H15" s="9">
        <f t="shared" si="1"/>
        <v>0.4</v>
      </c>
      <c r="I15" s="9">
        <f t="shared" si="1"/>
        <v>0.4</v>
      </c>
      <c r="J15" s="9">
        <f t="shared" si="1"/>
        <v>0.4</v>
      </c>
      <c r="K15" s="9">
        <f t="shared" si="1"/>
        <v>0.4</v>
      </c>
      <c r="L15" s="6"/>
      <c r="M15" s="6"/>
      <c r="N15" s="6"/>
    </row>
    <row r="16" spans="1:14" x14ac:dyDescent="0.2">
      <c r="A16" s="6"/>
      <c r="B16" s="6" t="s">
        <v>29</v>
      </c>
      <c r="C16" s="6"/>
      <c r="D16" s="6"/>
      <c r="E16" s="6"/>
      <c r="F16" s="6"/>
      <c r="G16" s="9">
        <v>0.4</v>
      </c>
      <c r="H16" s="9">
        <v>0.4</v>
      </c>
      <c r="I16" s="9">
        <v>0.4</v>
      </c>
      <c r="J16" s="9">
        <v>0.4</v>
      </c>
      <c r="K16" s="9">
        <v>0.4</v>
      </c>
      <c r="L16" s="6"/>
      <c r="M16" s="6"/>
      <c r="N16" s="6"/>
    </row>
    <row r="17" spans="2:11" x14ac:dyDescent="0.2">
      <c r="B17" s="6" t="s">
        <v>30</v>
      </c>
      <c r="C17" s="6"/>
      <c r="D17" s="6"/>
      <c r="E17" s="6"/>
      <c r="F17" s="6"/>
      <c r="G17" s="9">
        <v>0.5</v>
      </c>
      <c r="H17" s="9">
        <v>0.5</v>
      </c>
      <c r="I17" s="9">
        <v>0.5</v>
      </c>
      <c r="J17" s="9">
        <v>0.5</v>
      </c>
      <c r="K17" s="9">
        <v>0.5</v>
      </c>
    </row>
    <row r="18" spans="2:11" x14ac:dyDescent="0.2">
      <c r="B18" s="6" t="s">
        <v>31</v>
      </c>
      <c r="C18" s="6"/>
      <c r="D18" s="6"/>
      <c r="E18" s="6"/>
      <c r="F18" s="6"/>
      <c r="G18" s="9">
        <v>0.6</v>
      </c>
      <c r="H18" s="9">
        <v>0.6</v>
      </c>
      <c r="I18" s="9">
        <v>0.6</v>
      </c>
      <c r="J18" s="9">
        <v>0.6</v>
      </c>
      <c r="K18" s="9">
        <v>0.6</v>
      </c>
    </row>
    <row r="19" spans="2:11" x14ac:dyDescent="0.2">
      <c r="B19" s="6"/>
      <c r="C19" s="7"/>
      <c r="D19" s="7"/>
      <c r="E19" s="7"/>
      <c r="F19" s="6"/>
      <c r="G19" s="7"/>
      <c r="H19" s="7"/>
      <c r="I19" s="7"/>
      <c r="J19" s="7"/>
      <c r="K19" s="7"/>
    </row>
    <row r="20" spans="2:11" x14ac:dyDescent="0.2">
      <c r="B20" s="6" t="s">
        <v>34</v>
      </c>
      <c r="C20" s="7">
        <v>200000</v>
      </c>
      <c r="D20" s="7">
        <v>375000</v>
      </c>
      <c r="E20" s="7">
        <v>750000</v>
      </c>
      <c r="F20" s="6"/>
      <c r="G20" s="10">
        <f>G21*G9</f>
        <v>1350000</v>
      </c>
      <c r="H20" s="10">
        <f>H21*H9</f>
        <v>2497500</v>
      </c>
      <c r="I20" s="10">
        <f>I21*I9</f>
        <v>4695300</v>
      </c>
      <c r="J20" s="10">
        <f>J21*J9</f>
        <v>8827164</v>
      </c>
      <c r="K20" s="10">
        <f>K21*K9</f>
        <v>16595068.319999998</v>
      </c>
    </row>
    <row r="21" spans="2:11" x14ac:dyDescent="0.2">
      <c r="B21" s="6" t="s">
        <v>33</v>
      </c>
      <c r="C21" s="9">
        <f>C20/C9</f>
        <v>0.2</v>
      </c>
      <c r="D21" s="9">
        <f>D20/D9</f>
        <v>0.25</v>
      </c>
      <c r="E21" s="9">
        <f>E20/E9</f>
        <v>0.3</v>
      </c>
      <c r="F21" s="6"/>
      <c r="G21" s="9">
        <f>CHOOSE($C$5,G22,G23,G24)</f>
        <v>0.3</v>
      </c>
      <c r="H21" s="9">
        <f t="shared" ref="H21" si="2">CHOOSE($C$5,H22,H23,H24)</f>
        <v>0.3</v>
      </c>
      <c r="I21" s="9">
        <f t="shared" ref="I21" si="3">CHOOSE($C$5,I22,I23,I24)</f>
        <v>0.3</v>
      </c>
      <c r="J21" s="9">
        <f t="shared" ref="J21" si="4">CHOOSE($C$5,J22,J23,J24)</f>
        <v>0.3</v>
      </c>
      <c r="K21" s="9">
        <f t="shared" ref="K21" si="5">CHOOSE($C$5,K22,K23,K24)</f>
        <v>0.3</v>
      </c>
    </row>
    <row r="22" spans="2:11" x14ac:dyDescent="0.2">
      <c r="B22" s="6" t="s">
        <v>29</v>
      </c>
      <c r="C22" s="6"/>
      <c r="D22" s="6"/>
      <c r="E22" s="6"/>
      <c r="F22" s="6"/>
      <c r="G22" s="9">
        <v>0.3</v>
      </c>
      <c r="H22" s="9">
        <v>0.3</v>
      </c>
      <c r="I22" s="9">
        <v>0.3</v>
      </c>
      <c r="J22" s="9">
        <v>0.3</v>
      </c>
      <c r="K22" s="9">
        <v>0.3</v>
      </c>
    </row>
    <row r="23" spans="2:11" x14ac:dyDescent="0.2">
      <c r="B23" s="6" t="s">
        <v>30</v>
      </c>
      <c r="C23" s="6"/>
      <c r="D23" s="6"/>
      <c r="E23" s="6"/>
      <c r="F23" s="6"/>
      <c r="G23" s="9">
        <v>0.35</v>
      </c>
      <c r="H23" s="9">
        <v>0.35</v>
      </c>
      <c r="I23" s="9">
        <v>0.35</v>
      </c>
      <c r="J23" s="9">
        <v>0.35</v>
      </c>
      <c r="K23" s="9">
        <v>0.35</v>
      </c>
    </row>
    <row r="24" spans="2:11" x14ac:dyDescent="0.2">
      <c r="B24" s="6" t="s">
        <v>31</v>
      </c>
      <c r="C24" s="6"/>
      <c r="D24" s="6"/>
      <c r="E24" s="6"/>
      <c r="F24" s="6"/>
      <c r="G24" s="9">
        <v>0.4</v>
      </c>
      <c r="H24" s="9">
        <v>0.4</v>
      </c>
      <c r="I24" s="9">
        <v>0.4</v>
      </c>
      <c r="J24" s="9">
        <v>0.4</v>
      </c>
      <c r="K24" s="9">
        <v>0.4</v>
      </c>
    </row>
    <row r="25" spans="2:11" x14ac:dyDescent="0.2">
      <c r="B25" s="6"/>
      <c r="C25" s="7"/>
      <c r="D25" s="7"/>
      <c r="E25" s="7"/>
      <c r="F25" s="6"/>
      <c r="G25" s="10"/>
      <c r="H25" s="10"/>
      <c r="I25" s="10"/>
      <c r="J25" s="10"/>
      <c r="K25" s="10"/>
    </row>
    <row r="26" spans="2:11" x14ac:dyDescent="0.2">
      <c r="B26" s="6"/>
      <c r="C26" s="9"/>
      <c r="D26" s="9"/>
      <c r="E26" s="9"/>
      <c r="F26" s="6"/>
      <c r="G26" s="9"/>
      <c r="H26" s="9"/>
      <c r="I26" s="9"/>
      <c r="J26" s="9"/>
      <c r="K26" s="9"/>
    </row>
    <row r="27" spans="2:11" x14ac:dyDescent="0.2">
      <c r="B27" s="6"/>
      <c r="C27" s="6"/>
      <c r="D27" s="6"/>
      <c r="E27" s="6"/>
      <c r="F27" s="6"/>
      <c r="G27" s="9"/>
      <c r="H27" s="9"/>
      <c r="I27" s="9"/>
      <c r="J27" s="9"/>
      <c r="K27" s="9"/>
    </row>
    <row r="28" spans="2:11" x14ac:dyDescent="0.2">
      <c r="B28" s="6"/>
      <c r="C28" s="6"/>
      <c r="D28" s="6"/>
      <c r="E28" s="6"/>
      <c r="F28" s="6"/>
      <c r="G28" s="8"/>
      <c r="H28" s="8"/>
      <c r="I28" s="8"/>
      <c r="J28" s="8"/>
      <c r="K28" s="8"/>
    </row>
    <row r="29" spans="2:11" x14ac:dyDescent="0.2">
      <c r="B29" s="6"/>
      <c r="C29" s="6"/>
      <c r="D29" s="6"/>
      <c r="E29" s="6"/>
      <c r="F29" s="6"/>
      <c r="G29" s="9"/>
      <c r="H29" s="9"/>
      <c r="I29" s="9"/>
      <c r="J29" s="9"/>
      <c r="K29" s="9"/>
    </row>
    <row r="30" spans="2:11" x14ac:dyDescent="0.2">
      <c r="B30" s="6"/>
      <c r="C30" s="7"/>
      <c r="D30" s="7"/>
      <c r="E30" s="7"/>
      <c r="F30" s="6"/>
      <c r="G30" s="7"/>
      <c r="H30" s="7"/>
      <c r="I30" s="7"/>
      <c r="J30" s="7"/>
      <c r="K30" s="7"/>
    </row>
    <row r="31" spans="2:11" x14ac:dyDescent="0.2">
      <c r="B31" s="6"/>
      <c r="C31" s="9"/>
      <c r="D31" s="9"/>
      <c r="E31" s="9"/>
      <c r="F31" s="6"/>
      <c r="G31" s="9"/>
      <c r="H31" s="9"/>
      <c r="I31" s="9"/>
      <c r="J31" s="9"/>
      <c r="K31" s="9"/>
    </row>
    <row r="32" spans="2:11" x14ac:dyDescent="0.2">
      <c r="B32" s="6"/>
      <c r="C32" s="6"/>
      <c r="D32" s="6"/>
      <c r="E32" s="6"/>
      <c r="F32" s="6"/>
      <c r="G32" s="9"/>
      <c r="H32" s="9"/>
      <c r="I32" s="9"/>
      <c r="J32" s="9"/>
      <c r="K32" s="9"/>
    </row>
    <row r="33" spans="2:11" x14ac:dyDescent="0.2">
      <c r="B33" s="6"/>
      <c r="C33" s="6"/>
      <c r="D33" s="6"/>
      <c r="E33" s="6"/>
      <c r="F33" s="6"/>
      <c r="G33" s="9"/>
      <c r="H33" s="9"/>
      <c r="I33" s="9"/>
      <c r="J33" s="9"/>
      <c r="K33" s="9"/>
    </row>
    <row r="34" spans="2:11" x14ac:dyDescent="0.2">
      <c r="B34" s="6"/>
      <c r="C34" s="6"/>
      <c r="D34" s="6"/>
      <c r="E34" s="6"/>
      <c r="F34" s="6"/>
      <c r="G34" s="9"/>
      <c r="H34" s="9"/>
      <c r="I34" s="9"/>
      <c r="J34" s="9"/>
      <c r="K34" s="9"/>
    </row>
    <row r="38" spans="2:11" x14ac:dyDescent="0.2">
      <c r="B38" s="6"/>
      <c r="C38" s="7"/>
      <c r="D38" s="7"/>
      <c r="E38" s="7"/>
      <c r="F38" s="6"/>
      <c r="G38" s="9"/>
      <c r="H38" s="9"/>
      <c r="I38" s="9"/>
      <c r="J38" s="9"/>
      <c r="K38" s="9"/>
    </row>
    <row r="39" spans="2:11" x14ac:dyDescent="0.2">
      <c r="B39" s="6"/>
      <c r="C39" s="7"/>
      <c r="D39" s="7"/>
      <c r="E39" s="7"/>
      <c r="F39" s="6"/>
      <c r="G39" s="7"/>
      <c r="H39" s="7"/>
      <c r="I39" s="7"/>
      <c r="J39" s="7"/>
      <c r="K39" s="7"/>
    </row>
    <row r="40" spans="2:11" x14ac:dyDescent="0.2">
      <c r="B40" s="6"/>
      <c r="C40" s="7"/>
      <c r="D40" s="7"/>
      <c r="E40" s="7"/>
      <c r="F40" s="6"/>
      <c r="G40" s="9"/>
      <c r="H40" s="9"/>
      <c r="I40" s="9"/>
      <c r="J40" s="9"/>
      <c r="K40" s="9"/>
    </row>
    <row r="41" spans="2:11" x14ac:dyDescent="0.2">
      <c r="B41" s="6"/>
      <c r="C41" s="6"/>
      <c r="D41" s="6"/>
      <c r="E41" s="6"/>
      <c r="F41" s="6"/>
      <c r="G41" s="9"/>
      <c r="H41" s="9"/>
      <c r="I41" s="9"/>
      <c r="J41" s="9"/>
      <c r="K41" s="9"/>
    </row>
    <row r="42" spans="2:11" x14ac:dyDescent="0.2">
      <c r="B42" s="6"/>
      <c r="C42" s="6"/>
      <c r="D42" s="6"/>
      <c r="E42" s="6"/>
      <c r="F42" s="6"/>
      <c r="G42" s="9"/>
      <c r="H42" s="9"/>
      <c r="I42" s="9"/>
      <c r="J42" s="9"/>
      <c r="K42" s="9"/>
    </row>
    <row r="43" spans="2:11" x14ac:dyDescent="0.2">
      <c r="B43" s="6"/>
      <c r="C43" s="6"/>
      <c r="D43" s="6"/>
      <c r="E43" s="6"/>
      <c r="F43" s="6"/>
      <c r="G43" s="9"/>
      <c r="H43" s="9"/>
      <c r="I43" s="9"/>
      <c r="J43" s="9"/>
      <c r="K43" s="9"/>
    </row>
    <row r="44" spans="2:11" x14ac:dyDescent="0.2">
      <c r="B44" s="6"/>
      <c r="C44" s="7"/>
      <c r="D44" s="7"/>
      <c r="E44" s="7"/>
      <c r="F44" s="6"/>
      <c r="G44" s="9"/>
      <c r="H44" s="9"/>
      <c r="I44" s="9"/>
      <c r="J44" s="9"/>
      <c r="K44" s="9"/>
    </row>
    <row r="45" spans="2:11" x14ac:dyDescent="0.2">
      <c r="B45" s="6"/>
      <c r="C45" s="7"/>
      <c r="D45" s="7"/>
      <c r="E45" s="7"/>
      <c r="F45" s="6"/>
      <c r="G45" s="10"/>
      <c r="H45" s="10"/>
      <c r="I45" s="10"/>
      <c r="J45" s="10"/>
      <c r="K45" s="10"/>
    </row>
    <row r="46" spans="2:11" x14ac:dyDescent="0.2">
      <c r="B46" s="6"/>
      <c r="C46" s="8"/>
      <c r="D46" s="8"/>
      <c r="E46" s="8"/>
      <c r="F46" s="6"/>
      <c r="G46" s="9"/>
      <c r="H46" s="9"/>
      <c r="I46" s="9"/>
      <c r="J46" s="9"/>
      <c r="K46" s="9"/>
    </row>
    <row r="47" spans="2:11" x14ac:dyDescent="0.2">
      <c r="B47" s="6"/>
      <c r="C47" s="6"/>
      <c r="D47" s="6"/>
      <c r="E47" s="6"/>
      <c r="F47" s="6"/>
      <c r="G47" s="9"/>
      <c r="H47" s="9"/>
      <c r="I47" s="9"/>
      <c r="J47" s="9"/>
      <c r="K47" s="9"/>
    </row>
    <row r="48" spans="2:11" x14ac:dyDescent="0.2">
      <c r="B48" s="6"/>
      <c r="C48" s="6"/>
      <c r="D48" s="6"/>
      <c r="E48" s="6"/>
      <c r="F48" s="6"/>
      <c r="G48" s="9"/>
      <c r="H48" s="9"/>
      <c r="I48" s="9"/>
      <c r="J48" s="9"/>
      <c r="K48" s="9"/>
    </row>
    <row r="49" spans="2:11" x14ac:dyDescent="0.2">
      <c r="B49" s="6"/>
      <c r="C49" s="6"/>
      <c r="D49" s="6"/>
      <c r="E49" s="6"/>
      <c r="F49" s="6"/>
      <c r="G49" s="9"/>
      <c r="H49" s="9"/>
      <c r="I49" s="9"/>
      <c r="J49" s="9"/>
      <c r="K49" s="9"/>
    </row>
    <row r="50" spans="2:11" x14ac:dyDescent="0.2">
      <c r="B50" s="6"/>
      <c r="C50" s="7"/>
      <c r="D50" s="7"/>
      <c r="E50" s="7"/>
      <c r="F50" s="6"/>
      <c r="G50" s="9"/>
      <c r="H50" s="9"/>
      <c r="I50" s="9"/>
      <c r="J50" s="9"/>
      <c r="K50" s="9"/>
    </row>
    <row r="57" spans="2:11" x14ac:dyDescent="0.2">
      <c r="B57" s="6"/>
      <c r="C57" s="6"/>
      <c r="D57" s="6"/>
      <c r="E57" s="6"/>
      <c r="F57" s="6"/>
      <c r="G57" s="10"/>
      <c r="H57" s="10"/>
      <c r="I57" s="10"/>
      <c r="J57" s="10"/>
      <c r="K57" s="10"/>
    </row>
    <row r="58" spans="2:11" x14ac:dyDescent="0.2">
      <c r="B58" s="6"/>
      <c r="C58" s="6"/>
      <c r="D58" s="6"/>
      <c r="E58" s="6"/>
      <c r="F58" s="6"/>
      <c r="G58" s="9"/>
      <c r="H58" s="9"/>
      <c r="I58" s="9"/>
      <c r="J58" s="9"/>
      <c r="K58" s="9"/>
    </row>
    <row r="59" spans="2:11" x14ac:dyDescent="0.2">
      <c r="B59" s="6"/>
      <c r="C59" s="6"/>
      <c r="D59" s="6"/>
      <c r="E59" s="6"/>
      <c r="F59" s="6"/>
      <c r="G59" s="9"/>
      <c r="H59" s="9"/>
      <c r="I59" s="9"/>
      <c r="J59" s="9"/>
      <c r="K59" s="9"/>
    </row>
    <row r="60" spans="2:11" x14ac:dyDescent="0.2">
      <c r="B60" s="6"/>
      <c r="C60" s="6"/>
      <c r="D60" s="6"/>
      <c r="E60" s="6"/>
      <c r="F60" s="6"/>
      <c r="G60" s="9"/>
      <c r="H60" s="9"/>
      <c r="I60" s="9"/>
      <c r="J60" s="9"/>
      <c r="K60" s="9"/>
    </row>
    <row r="61" spans="2:11" x14ac:dyDescent="0.2">
      <c r="B61" s="6"/>
      <c r="C61" s="6"/>
      <c r="D61" s="6"/>
      <c r="E61" s="6"/>
      <c r="F61" s="6"/>
      <c r="G61" s="9"/>
      <c r="H61" s="9"/>
      <c r="I61" s="9"/>
      <c r="J61" s="9"/>
      <c r="K6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B6DD-0843-624D-B627-A4607F143E01}">
  <dimension ref="B1:Q35"/>
  <sheetViews>
    <sheetView zoomScale="94" workbookViewId="0">
      <selection activeCell="P27" sqref="P27"/>
    </sheetView>
  </sheetViews>
  <sheetFormatPr baseColWidth="10" defaultRowHeight="16" x14ac:dyDescent="0.2"/>
  <cols>
    <col min="1" max="1" width="4.5" style="4" customWidth="1"/>
    <col min="2" max="2" width="36.5" style="6" bestFit="1" customWidth="1"/>
    <col min="3" max="16384" width="10.83203125" style="4"/>
  </cols>
  <sheetData>
    <row r="1" spans="2:17" x14ac:dyDescent="0.2">
      <c r="B1" s="4"/>
    </row>
    <row r="3" spans="2:17" ht="25" x14ac:dyDescent="0.25">
      <c r="B3" s="21" t="s">
        <v>0</v>
      </c>
      <c r="H3" s="51" t="s">
        <v>119</v>
      </c>
    </row>
    <row r="4" spans="2:17" ht="17" customHeight="1" x14ac:dyDescent="0.2"/>
    <row r="5" spans="2:17" x14ac:dyDescent="0.2">
      <c r="B5" s="42"/>
      <c r="C5" s="41" t="s">
        <v>101</v>
      </c>
      <c r="D5" s="41" t="s">
        <v>102</v>
      </c>
      <c r="E5" s="41" t="s">
        <v>91</v>
      </c>
      <c r="F5" s="41" t="s">
        <v>92</v>
      </c>
      <c r="G5" s="41" t="s">
        <v>93</v>
      </c>
      <c r="H5" s="41" t="s">
        <v>94</v>
      </c>
      <c r="I5" s="41" t="s">
        <v>95</v>
      </c>
      <c r="J5" s="41" t="s">
        <v>96</v>
      </c>
      <c r="K5" s="41" t="s">
        <v>97</v>
      </c>
      <c r="L5" s="41" t="s">
        <v>98</v>
      </c>
      <c r="M5" s="41" t="s">
        <v>99</v>
      </c>
      <c r="N5" s="41" t="s">
        <v>100</v>
      </c>
    </row>
    <row r="6" spans="2:17" x14ac:dyDescent="0.2">
      <c r="B6" s="12" t="s">
        <v>1</v>
      </c>
    </row>
    <row r="7" spans="2:17" x14ac:dyDescent="0.2">
      <c r="B7" s="6" t="s">
        <v>40</v>
      </c>
      <c r="C7" s="43">
        <v>5000</v>
      </c>
      <c r="D7" s="4">
        <v>7000</v>
      </c>
      <c r="E7" s="4">
        <v>10000</v>
      </c>
      <c r="F7" s="4">
        <v>14000</v>
      </c>
      <c r="G7" s="4">
        <v>20000</v>
      </c>
      <c r="H7" s="4">
        <v>22000</v>
      </c>
      <c r="I7" s="4">
        <v>25000</v>
      </c>
      <c r="J7" s="4">
        <v>25000</v>
      </c>
      <c r="K7" s="4">
        <v>25000</v>
      </c>
      <c r="L7" s="4">
        <v>25000</v>
      </c>
      <c r="M7" s="4">
        <v>25000</v>
      </c>
      <c r="N7" s="4">
        <v>25000</v>
      </c>
      <c r="O7" s="43">
        <f>SUM(C7:N7)</f>
        <v>228000</v>
      </c>
      <c r="Q7" s="31"/>
    </row>
    <row r="8" spans="2:17" x14ac:dyDescent="0.2">
      <c r="B8" s="6" t="s">
        <v>41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3">
        <f t="shared" ref="O8:O34" si="0">SUM(C8:N8)</f>
        <v>0</v>
      </c>
    </row>
    <row r="9" spans="2:17" x14ac:dyDescent="0.2">
      <c r="B9" s="6" t="s">
        <v>39</v>
      </c>
      <c r="O9" s="43">
        <f t="shared" si="0"/>
        <v>0</v>
      </c>
    </row>
    <row r="10" spans="2:17" x14ac:dyDescent="0.2">
      <c r="B10" s="21" t="s">
        <v>2</v>
      </c>
      <c r="C10" s="43">
        <f>SUM(C7:C8)</f>
        <v>5000</v>
      </c>
      <c r="D10" s="43">
        <f>SUM(D7:D8)</f>
        <v>7000</v>
      </c>
      <c r="E10" s="43">
        <f t="shared" ref="E10:O10" si="1">SUM(E7:E8)</f>
        <v>10000</v>
      </c>
      <c r="F10" s="43">
        <f t="shared" si="1"/>
        <v>14000</v>
      </c>
      <c r="G10" s="43">
        <f t="shared" si="1"/>
        <v>20000</v>
      </c>
      <c r="H10" s="43">
        <f t="shared" si="1"/>
        <v>22000</v>
      </c>
      <c r="I10" s="43">
        <f t="shared" si="1"/>
        <v>25000</v>
      </c>
      <c r="J10" s="43">
        <f t="shared" si="1"/>
        <v>25000</v>
      </c>
      <c r="K10" s="43">
        <f>SUM(K7:K8)</f>
        <v>25000</v>
      </c>
      <c r="L10" s="43">
        <f t="shared" si="1"/>
        <v>25000</v>
      </c>
      <c r="M10" s="43">
        <f>SUM(M7:M8)</f>
        <v>25000</v>
      </c>
      <c r="N10" s="43">
        <f t="shared" si="1"/>
        <v>25000</v>
      </c>
      <c r="O10" s="43">
        <f t="shared" si="1"/>
        <v>228000</v>
      </c>
    </row>
    <row r="11" spans="2:17" x14ac:dyDescent="0.2">
      <c r="O11" s="43">
        <f t="shared" si="0"/>
        <v>0</v>
      </c>
    </row>
    <row r="12" spans="2:17" x14ac:dyDescent="0.2">
      <c r="B12" s="6" t="s">
        <v>3</v>
      </c>
      <c r="O12" s="43"/>
    </row>
    <row r="13" spans="2:17" x14ac:dyDescent="0.2">
      <c r="B13" s="6" t="s">
        <v>35</v>
      </c>
      <c r="C13" s="4">
        <f>C10*40%</f>
        <v>2000</v>
      </c>
      <c r="D13" s="4">
        <f>D10*40%</f>
        <v>2800</v>
      </c>
      <c r="E13" s="4">
        <f>E10*40%</f>
        <v>4000</v>
      </c>
      <c r="F13" s="4">
        <f t="shared" ref="F13:N13" si="2">F10*40%</f>
        <v>5600</v>
      </c>
      <c r="G13" s="4">
        <f t="shared" si="2"/>
        <v>8000</v>
      </c>
      <c r="H13" s="4">
        <f t="shared" si="2"/>
        <v>8800</v>
      </c>
      <c r="I13" s="4">
        <f t="shared" si="2"/>
        <v>10000</v>
      </c>
      <c r="J13" s="4">
        <f t="shared" si="2"/>
        <v>10000</v>
      </c>
      <c r="K13" s="4">
        <f t="shared" si="2"/>
        <v>10000</v>
      </c>
      <c r="L13" s="4">
        <f t="shared" si="2"/>
        <v>10000</v>
      </c>
      <c r="M13" s="4">
        <f t="shared" si="2"/>
        <v>10000</v>
      </c>
      <c r="N13" s="4">
        <f t="shared" si="2"/>
        <v>10000</v>
      </c>
      <c r="O13" s="43">
        <f t="shared" si="0"/>
        <v>91200</v>
      </c>
    </row>
    <row r="14" spans="2:17" x14ac:dyDescent="0.2">
      <c r="B14" s="44" t="s">
        <v>36</v>
      </c>
      <c r="C14" s="45">
        <f>C10-C13</f>
        <v>3000</v>
      </c>
      <c r="D14" s="45">
        <f t="shared" ref="D14:M14" si="3">D10-D13</f>
        <v>4200</v>
      </c>
      <c r="E14" s="45">
        <f t="shared" si="3"/>
        <v>6000</v>
      </c>
      <c r="F14" s="45">
        <f t="shared" si="3"/>
        <v>8400</v>
      </c>
      <c r="G14" s="45">
        <f t="shared" si="3"/>
        <v>12000</v>
      </c>
      <c r="H14" s="45">
        <f t="shared" si="3"/>
        <v>13200</v>
      </c>
      <c r="I14" s="45">
        <f t="shared" si="3"/>
        <v>15000</v>
      </c>
      <c r="J14" s="45">
        <f t="shared" si="3"/>
        <v>15000</v>
      </c>
      <c r="K14" s="45">
        <f t="shared" si="3"/>
        <v>15000</v>
      </c>
      <c r="L14" s="45">
        <f t="shared" si="3"/>
        <v>15000</v>
      </c>
      <c r="M14" s="45">
        <f t="shared" si="3"/>
        <v>15000</v>
      </c>
      <c r="N14" s="45">
        <f>N10-N13</f>
        <v>15000</v>
      </c>
      <c r="O14" s="45">
        <f t="shared" ref="O14" si="4">O10-O13</f>
        <v>136800</v>
      </c>
    </row>
    <row r="15" spans="2:17" x14ac:dyDescent="0.2">
      <c r="B15" s="21"/>
      <c r="O15" s="43">
        <f t="shared" si="0"/>
        <v>0</v>
      </c>
    </row>
    <row r="16" spans="2:17" x14ac:dyDescent="0.2">
      <c r="B16" s="12" t="s">
        <v>34</v>
      </c>
      <c r="O16" s="43">
        <f t="shared" si="0"/>
        <v>0</v>
      </c>
    </row>
    <row r="17" spans="2:15" x14ac:dyDescent="0.2">
      <c r="B17" s="6" t="s">
        <v>38</v>
      </c>
      <c r="C17" s="4">
        <v>36000</v>
      </c>
      <c r="D17" s="4">
        <v>36000</v>
      </c>
      <c r="E17" s="4">
        <v>36000</v>
      </c>
      <c r="F17" s="4">
        <v>36000</v>
      </c>
      <c r="G17" s="4">
        <v>36000</v>
      </c>
      <c r="H17" s="4">
        <v>36000</v>
      </c>
      <c r="I17" s="4">
        <v>36000</v>
      </c>
      <c r="J17" s="4">
        <v>36000</v>
      </c>
      <c r="K17" s="4">
        <v>36000</v>
      </c>
      <c r="L17" s="4">
        <v>36000</v>
      </c>
      <c r="M17" s="4">
        <v>36000</v>
      </c>
      <c r="N17" s="4">
        <v>36000</v>
      </c>
      <c r="O17" s="43">
        <f t="shared" si="0"/>
        <v>432000</v>
      </c>
    </row>
    <row r="18" spans="2:15" x14ac:dyDescent="0.2">
      <c r="B18" s="4" t="s">
        <v>37</v>
      </c>
      <c r="C18" s="4">
        <v>20000</v>
      </c>
      <c r="D18" s="4">
        <v>20000</v>
      </c>
      <c r="E18" s="4">
        <v>20000</v>
      </c>
      <c r="F18" s="4">
        <v>20000</v>
      </c>
      <c r="G18" s="4">
        <v>20000</v>
      </c>
      <c r="H18" s="4">
        <v>20000</v>
      </c>
      <c r="I18" s="4">
        <v>20000</v>
      </c>
      <c r="J18" s="4">
        <v>20000</v>
      </c>
      <c r="K18" s="4">
        <v>20000</v>
      </c>
      <c r="L18" s="4">
        <v>20000</v>
      </c>
      <c r="M18" s="4">
        <v>20000</v>
      </c>
      <c r="N18" s="4">
        <v>20000</v>
      </c>
      <c r="O18" s="43">
        <f t="shared" si="0"/>
        <v>240000</v>
      </c>
    </row>
    <row r="19" spans="2:15" x14ac:dyDescent="0.2">
      <c r="B19" s="4" t="s">
        <v>103</v>
      </c>
      <c r="C19" s="4">
        <v>3000</v>
      </c>
      <c r="D19" s="4">
        <v>3000</v>
      </c>
      <c r="E19" s="4">
        <v>3000</v>
      </c>
      <c r="F19" s="4">
        <v>3000</v>
      </c>
      <c r="G19" s="4">
        <v>3000</v>
      </c>
      <c r="H19" s="4">
        <v>3000</v>
      </c>
      <c r="I19" s="4">
        <v>3000</v>
      </c>
      <c r="J19" s="4">
        <v>3000</v>
      </c>
      <c r="K19" s="4">
        <v>3000</v>
      </c>
      <c r="L19" s="4">
        <v>3000</v>
      </c>
      <c r="M19" s="4">
        <v>3000</v>
      </c>
      <c r="N19" s="4">
        <v>3000</v>
      </c>
      <c r="O19" s="43">
        <f>SUM(C19:N19)</f>
        <v>36000</v>
      </c>
    </row>
    <row r="20" spans="2:15" x14ac:dyDescent="0.2">
      <c r="B20" s="6" t="s">
        <v>105</v>
      </c>
      <c r="C20" s="4">
        <v>0</v>
      </c>
      <c r="D20" s="4">
        <v>0</v>
      </c>
      <c r="E20" s="4">
        <f>E7*5%</f>
        <v>500</v>
      </c>
      <c r="F20" s="4">
        <f>F7*5%</f>
        <v>700</v>
      </c>
      <c r="G20" s="4">
        <f t="shared" ref="G20:N20" si="5">G7*5%</f>
        <v>1000</v>
      </c>
      <c r="H20" s="4">
        <f t="shared" si="5"/>
        <v>1100</v>
      </c>
      <c r="I20" s="4">
        <f t="shared" si="5"/>
        <v>1250</v>
      </c>
      <c r="J20" s="4">
        <f t="shared" si="5"/>
        <v>1250</v>
      </c>
      <c r="K20" s="4">
        <f t="shared" si="5"/>
        <v>1250</v>
      </c>
      <c r="L20" s="4">
        <f t="shared" si="5"/>
        <v>1250</v>
      </c>
      <c r="M20" s="4">
        <f t="shared" si="5"/>
        <v>1250</v>
      </c>
      <c r="N20" s="4">
        <f t="shared" si="5"/>
        <v>1250</v>
      </c>
      <c r="O20" s="43">
        <f t="shared" si="0"/>
        <v>10800</v>
      </c>
    </row>
    <row r="21" spans="2:15" x14ac:dyDescent="0.2">
      <c r="B21" s="4" t="s">
        <v>106</v>
      </c>
      <c r="C21" s="4">
        <f>C7/1000*50</f>
        <v>250</v>
      </c>
      <c r="D21" s="4">
        <f t="shared" ref="D21:N21" si="6">D7/1000*50</f>
        <v>350</v>
      </c>
      <c r="E21" s="4">
        <f>E7/1000*50</f>
        <v>500</v>
      </c>
      <c r="F21" s="4">
        <f>F7/1000*50</f>
        <v>700</v>
      </c>
      <c r="G21" s="4">
        <f t="shared" si="6"/>
        <v>1000</v>
      </c>
      <c r="H21" s="4">
        <f t="shared" si="6"/>
        <v>1100</v>
      </c>
      <c r="I21" s="4">
        <f t="shared" si="6"/>
        <v>1250</v>
      </c>
      <c r="J21" s="4">
        <f t="shared" si="6"/>
        <v>1250</v>
      </c>
      <c r="K21" s="4">
        <f t="shared" si="6"/>
        <v>1250</v>
      </c>
      <c r="L21" s="4">
        <f t="shared" si="6"/>
        <v>1250</v>
      </c>
      <c r="M21" s="4">
        <f>M7/1000*50</f>
        <v>1250</v>
      </c>
      <c r="N21" s="4">
        <f t="shared" si="6"/>
        <v>1250</v>
      </c>
      <c r="O21" s="43">
        <f t="shared" si="0"/>
        <v>11400</v>
      </c>
    </row>
    <row r="22" spans="2:15" x14ac:dyDescent="0.2">
      <c r="B22" s="6" t="s">
        <v>107</v>
      </c>
      <c r="C22" s="4">
        <f>C7*2%</f>
        <v>100</v>
      </c>
      <c r="D22" s="4">
        <f t="shared" ref="D22:N22" si="7">D7*2%</f>
        <v>140</v>
      </c>
      <c r="E22" s="4">
        <f>E7*2%</f>
        <v>200</v>
      </c>
      <c r="F22" s="4">
        <f t="shared" si="7"/>
        <v>280</v>
      </c>
      <c r="G22" s="4">
        <f t="shared" si="7"/>
        <v>400</v>
      </c>
      <c r="H22" s="4">
        <f t="shared" si="7"/>
        <v>440</v>
      </c>
      <c r="I22" s="4">
        <f t="shared" si="7"/>
        <v>500</v>
      </c>
      <c r="J22" s="4">
        <f t="shared" si="7"/>
        <v>500</v>
      </c>
      <c r="K22" s="4">
        <f t="shared" si="7"/>
        <v>500</v>
      </c>
      <c r="L22" s="4">
        <f t="shared" si="7"/>
        <v>500</v>
      </c>
      <c r="M22" s="4">
        <f t="shared" si="7"/>
        <v>500</v>
      </c>
      <c r="N22" s="4">
        <f t="shared" si="7"/>
        <v>500</v>
      </c>
      <c r="O22" s="43">
        <f t="shared" si="0"/>
        <v>4560</v>
      </c>
    </row>
    <row r="23" spans="2:15" x14ac:dyDescent="0.2">
      <c r="B23" s="6" t="s">
        <v>108</v>
      </c>
      <c r="C23" s="46">
        <v>50000</v>
      </c>
      <c r="D23" s="4">
        <v>1000</v>
      </c>
      <c r="E23" s="4">
        <v>1000</v>
      </c>
      <c r="F23" s="4">
        <v>1000</v>
      </c>
      <c r="G23" s="4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>
        <v>1000</v>
      </c>
      <c r="N23" s="4">
        <v>1000</v>
      </c>
      <c r="O23" s="43">
        <f t="shared" si="0"/>
        <v>61000</v>
      </c>
    </row>
    <row r="24" spans="2:15" x14ac:dyDescent="0.2">
      <c r="B24" s="6" t="s">
        <v>104</v>
      </c>
      <c r="C24" s="4">
        <v>0</v>
      </c>
      <c r="D24" s="4">
        <v>0</v>
      </c>
      <c r="E24" s="4">
        <f>D7*20%</f>
        <v>1400</v>
      </c>
      <c r="F24" s="4">
        <f>E7*20%</f>
        <v>2000</v>
      </c>
      <c r="G24" s="4">
        <f t="shared" ref="G24:N24" si="8">F7*20%</f>
        <v>2800</v>
      </c>
      <c r="H24" s="4">
        <f t="shared" si="8"/>
        <v>4000</v>
      </c>
      <c r="I24" s="4">
        <f t="shared" si="8"/>
        <v>4400</v>
      </c>
      <c r="J24" s="4">
        <f t="shared" si="8"/>
        <v>5000</v>
      </c>
      <c r="K24" s="4">
        <f t="shared" si="8"/>
        <v>5000</v>
      </c>
      <c r="L24" s="4">
        <f t="shared" si="8"/>
        <v>5000</v>
      </c>
      <c r="M24" s="4">
        <f t="shared" si="8"/>
        <v>5000</v>
      </c>
      <c r="N24" s="4">
        <f t="shared" si="8"/>
        <v>5000</v>
      </c>
      <c r="O24" s="43">
        <f t="shared" si="0"/>
        <v>39600</v>
      </c>
    </row>
    <row r="25" spans="2:15" x14ac:dyDescent="0.2">
      <c r="B25" s="6" t="s">
        <v>109</v>
      </c>
      <c r="C25" s="4">
        <f>C10*1%</f>
        <v>50</v>
      </c>
      <c r="D25" s="4">
        <f>D10*1%</f>
        <v>70</v>
      </c>
      <c r="E25" s="4">
        <f>E10*1%</f>
        <v>100</v>
      </c>
      <c r="F25" s="4">
        <f t="shared" ref="F25:N25" si="9">F10*1%</f>
        <v>140</v>
      </c>
      <c r="G25" s="4">
        <f t="shared" si="9"/>
        <v>200</v>
      </c>
      <c r="H25" s="4">
        <f t="shared" si="9"/>
        <v>220</v>
      </c>
      <c r="I25" s="4">
        <f t="shared" si="9"/>
        <v>250</v>
      </c>
      <c r="J25" s="4">
        <f t="shared" si="9"/>
        <v>250</v>
      </c>
      <c r="K25" s="4">
        <f t="shared" si="9"/>
        <v>250</v>
      </c>
      <c r="L25" s="4">
        <f t="shared" si="9"/>
        <v>250</v>
      </c>
      <c r="M25" s="4">
        <f t="shared" si="9"/>
        <v>250</v>
      </c>
      <c r="N25" s="4">
        <f t="shared" si="9"/>
        <v>250</v>
      </c>
      <c r="O25" s="43">
        <f t="shared" si="0"/>
        <v>2280</v>
      </c>
    </row>
    <row r="26" spans="2:15" x14ac:dyDescent="0.2">
      <c r="B26" s="6" t="s">
        <v>110</v>
      </c>
      <c r="C26" s="4">
        <f>SUM(C17:C25)</f>
        <v>109400</v>
      </c>
      <c r="D26" s="4">
        <f>SUM(D17:D25)</f>
        <v>60560</v>
      </c>
      <c r="E26" s="4">
        <f>SUM(E17:E25)</f>
        <v>62700</v>
      </c>
      <c r="F26" s="4">
        <f t="shared" ref="F26:L26" si="10">SUM(F17:F25)</f>
        <v>63820</v>
      </c>
      <c r="G26" s="4">
        <f t="shared" si="10"/>
        <v>65400</v>
      </c>
      <c r="H26" s="4">
        <f t="shared" si="10"/>
        <v>66860</v>
      </c>
      <c r="I26" s="4">
        <f t="shared" si="10"/>
        <v>67650</v>
      </c>
      <c r="J26" s="4">
        <f t="shared" si="10"/>
        <v>68250</v>
      </c>
      <c r="K26" s="4">
        <f t="shared" si="10"/>
        <v>68250</v>
      </c>
      <c r="L26" s="4">
        <f t="shared" si="10"/>
        <v>68250</v>
      </c>
      <c r="M26" s="4">
        <f>SUM(M17:M25)</f>
        <v>68250</v>
      </c>
      <c r="N26" s="4">
        <f t="shared" ref="N26" si="11">SUM(N17:N25)</f>
        <v>68250</v>
      </c>
      <c r="O26" s="43">
        <f t="shared" si="0"/>
        <v>837640</v>
      </c>
    </row>
    <row r="27" spans="2:15" x14ac:dyDescent="0.2">
      <c r="B27" s="21" t="s">
        <v>4</v>
      </c>
      <c r="C27" s="43">
        <f>C14-C26</f>
        <v>-106400</v>
      </c>
      <c r="D27" s="43">
        <f>D14-D26</f>
        <v>-56360</v>
      </c>
      <c r="E27" s="43">
        <f>E14-E26</f>
        <v>-56700</v>
      </c>
      <c r="F27" s="43">
        <f t="shared" ref="F27:N27" si="12">F14-F26</f>
        <v>-55420</v>
      </c>
      <c r="G27" s="43">
        <f t="shared" si="12"/>
        <v>-53400</v>
      </c>
      <c r="H27" s="43">
        <f t="shared" si="12"/>
        <v>-53660</v>
      </c>
      <c r="I27" s="43">
        <f t="shared" si="12"/>
        <v>-52650</v>
      </c>
      <c r="J27" s="43">
        <f t="shared" si="12"/>
        <v>-53250</v>
      </c>
      <c r="K27" s="43">
        <f t="shared" si="12"/>
        <v>-53250</v>
      </c>
      <c r="L27" s="43">
        <f t="shared" si="12"/>
        <v>-53250</v>
      </c>
      <c r="M27" s="43">
        <f t="shared" si="12"/>
        <v>-53250</v>
      </c>
      <c r="N27" s="43">
        <f t="shared" si="12"/>
        <v>-53250</v>
      </c>
      <c r="O27" s="43">
        <f t="shared" si="0"/>
        <v>-700840</v>
      </c>
    </row>
    <row r="28" spans="2:15" x14ac:dyDescent="0.2">
      <c r="B28" s="6" t="s">
        <v>5</v>
      </c>
      <c r="C28" s="4">
        <v>1000</v>
      </c>
      <c r="D28" s="4">
        <v>1000</v>
      </c>
      <c r="E28" s="4">
        <v>1000</v>
      </c>
      <c r="F28" s="4">
        <v>1000</v>
      </c>
      <c r="G28" s="4">
        <v>1000</v>
      </c>
      <c r="H28" s="4">
        <v>1000</v>
      </c>
      <c r="I28" s="4">
        <v>1000</v>
      </c>
      <c r="J28" s="4">
        <v>1000</v>
      </c>
      <c r="K28" s="4">
        <v>1000</v>
      </c>
      <c r="L28" s="4">
        <v>1000</v>
      </c>
      <c r="M28" s="4">
        <v>1000</v>
      </c>
      <c r="N28" s="4">
        <v>1000</v>
      </c>
      <c r="O28" s="43">
        <f t="shared" si="0"/>
        <v>12000</v>
      </c>
    </row>
    <row r="29" spans="2:15" x14ac:dyDescent="0.2">
      <c r="B29" s="21" t="s">
        <v>6</v>
      </c>
      <c r="C29" s="43">
        <f>C27-C28</f>
        <v>-107400</v>
      </c>
      <c r="D29" s="43">
        <f>D27-D28</f>
        <v>-57360</v>
      </c>
      <c r="E29" s="43">
        <f>E27-E28</f>
        <v>-57700</v>
      </c>
      <c r="F29" s="43">
        <f t="shared" ref="F29:N29" si="13">F27-F28</f>
        <v>-56420</v>
      </c>
      <c r="G29" s="43">
        <f t="shared" si="13"/>
        <v>-54400</v>
      </c>
      <c r="H29" s="43">
        <f t="shared" si="13"/>
        <v>-54660</v>
      </c>
      <c r="I29" s="43">
        <f t="shared" si="13"/>
        <v>-53650</v>
      </c>
      <c r="J29" s="43">
        <f t="shared" si="13"/>
        <v>-54250</v>
      </c>
      <c r="K29" s="43">
        <f t="shared" si="13"/>
        <v>-54250</v>
      </c>
      <c r="L29" s="43">
        <f t="shared" si="13"/>
        <v>-54250</v>
      </c>
      <c r="M29" s="43">
        <f t="shared" si="13"/>
        <v>-54250</v>
      </c>
      <c r="N29" s="43">
        <f t="shared" si="13"/>
        <v>-54250</v>
      </c>
      <c r="O29" s="43">
        <f>SUM(C29:N29)</f>
        <v>-712840</v>
      </c>
    </row>
    <row r="30" spans="2:15" x14ac:dyDescent="0.2">
      <c r="B30" s="21"/>
      <c r="O30" s="43">
        <f t="shared" si="0"/>
        <v>0</v>
      </c>
    </row>
    <row r="31" spans="2:15" x14ac:dyDescent="0.2">
      <c r="B31" s="6" t="s">
        <v>7</v>
      </c>
      <c r="C31" s="43">
        <f>C29</f>
        <v>-107400</v>
      </c>
      <c r="D31" s="43">
        <f>D29</f>
        <v>-57360</v>
      </c>
      <c r="E31" s="43">
        <f>E29</f>
        <v>-57700</v>
      </c>
      <c r="F31" s="43">
        <f t="shared" ref="F31:N31" si="14">F29</f>
        <v>-56420</v>
      </c>
      <c r="G31" s="43">
        <f t="shared" si="14"/>
        <v>-54400</v>
      </c>
      <c r="H31" s="43">
        <f t="shared" si="14"/>
        <v>-54660</v>
      </c>
      <c r="I31" s="43">
        <f t="shared" si="14"/>
        <v>-53650</v>
      </c>
      <c r="J31" s="43">
        <f t="shared" si="14"/>
        <v>-54250</v>
      </c>
      <c r="K31" s="43">
        <f t="shared" si="14"/>
        <v>-54250</v>
      </c>
      <c r="L31" s="43">
        <f t="shared" si="14"/>
        <v>-54250</v>
      </c>
      <c r="M31" s="43">
        <f t="shared" si="14"/>
        <v>-54250</v>
      </c>
      <c r="N31" s="43">
        <f t="shared" si="14"/>
        <v>-54250</v>
      </c>
      <c r="O31" s="43">
        <f t="shared" si="0"/>
        <v>-712840</v>
      </c>
    </row>
    <row r="32" spans="2:15" x14ac:dyDescent="0.2">
      <c r="B32" s="6" t="s">
        <v>8</v>
      </c>
      <c r="C32" s="9">
        <v>0.01</v>
      </c>
      <c r="D32" s="9">
        <v>0.01</v>
      </c>
      <c r="E32" s="9">
        <v>0.01</v>
      </c>
      <c r="F32" s="9">
        <v>0.01</v>
      </c>
      <c r="G32" s="9">
        <v>0.01</v>
      </c>
      <c r="H32" s="9">
        <v>0.01</v>
      </c>
      <c r="I32" s="9">
        <v>0.01</v>
      </c>
      <c r="J32" s="9">
        <v>0.01</v>
      </c>
      <c r="K32" s="9">
        <v>0.01</v>
      </c>
      <c r="L32" s="9">
        <v>0.01</v>
      </c>
      <c r="M32" s="9">
        <v>0.01</v>
      </c>
      <c r="N32" s="9">
        <v>0.01</v>
      </c>
      <c r="O32" s="43">
        <f t="shared" si="0"/>
        <v>0.11999999999999998</v>
      </c>
    </row>
    <row r="33" spans="2:15" x14ac:dyDescent="0.2">
      <c r="B33" s="6" t="s">
        <v>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3">
        <f t="shared" si="0"/>
        <v>0</v>
      </c>
    </row>
    <row r="34" spans="2:15" x14ac:dyDescent="0.2">
      <c r="B34" s="21" t="s">
        <v>47</v>
      </c>
      <c r="C34" s="43">
        <f>C31-C33</f>
        <v>-107400</v>
      </c>
      <c r="D34" s="47">
        <f>D31-D33</f>
        <v>-57360</v>
      </c>
      <c r="E34" s="47">
        <f>E31-E33</f>
        <v>-57700</v>
      </c>
      <c r="F34" s="47">
        <f t="shared" ref="F34:N34" si="15">F31-F33</f>
        <v>-56420</v>
      </c>
      <c r="G34" s="47">
        <f t="shared" si="15"/>
        <v>-54400</v>
      </c>
      <c r="H34" s="47">
        <f t="shared" si="15"/>
        <v>-54660</v>
      </c>
      <c r="I34" s="47">
        <f t="shared" si="15"/>
        <v>-53650</v>
      </c>
      <c r="J34" s="47">
        <f t="shared" si="15"/>
        <v>-54250</v>
      </c>
      <c r="K34" s="47">
        <f t="shared" si="15"/>
        <v>-54250</v>
      </c>
      <c r="L34" s="47">
        <f t="shared" si="15"/>
        <v>-54250</v>
      </c>
      <c r="M34" s="47">
        <f t="shared" si="15"/>
        <v>-54250</v>
      </c>
      <c r="N34" s="47">
        <f t="shared" si="15"/>
        <v>-54250</v>
      </c>
      <c r="O34" s="43">
        <f t="shared" si="0"/>
        <v>-712840</v>
      </c>
    </row>
    <row r="35" spans="2:15" x14ac:dyDescent="0.2">
      <c r="B3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1F3A-0035-B64D-97CC-1C0FBF5CC696}">
  <dimension ref="B1:N35"/>
  <sheetViews>
    <sheetView zoomScaleNormal="140" workbookViewId="0">
      <selection activeCell="K7" sqref="K7"/>
    </sheetView>
  </sheetViews>
  <sheetFormatPr baseColWidth="10" defaultRowHeight="16" x14ac:dyDescent="0.2"/>
  <cols>
    <col min="1" max="1" width="2.5" style="4" customWidth="1"/>
    <col min="2" max="2" width="34.1640625" style="6" bestFit="1" customWidth="1"/>
    <col min="3" max="3" width="10.83203125" style="4"/>
    <col min="4" max="4" width="4.5" style="4" customWidth="1"/>
    <col min="5" max="5" width="13.1640625" style="4" bestFit="1" customWidth="1"/>
    <col min="6" max="6" width="12.5" style="4" bestFit="1" customWidth="1"/>
    <col min="7" max="7" width="12.1640625" style="4" customWidth="1"/>
    <col min="8" max="10" width="10.83203125" style="4"/>
    <col min="11" max="11" width="11.1640625" style="4" bestFit="1" customWidth="1"/>
    <col min="12" max="12" width="12.1640625" style="4" bestFit="1" customWidth="1"/>
    <col min="13" max="16384" width="10.83203125" style="4"/>
  </cols>
  <sheetData>
    <row r="1" spans="2:14" x14ac:dyDescent="0.2">
      <c r="B1" s="4"/>
    </row>
    <row r="2" spans="2:14" ht="25" x14ac:dyDescent="0.25">
      <c r="B2" s="21"/>
      <c r="F2" s="51" t="s">
        <v>119</v>
      </c>
      <c r="J2" s="51"/>
    </row>
    <row r="3" spans="2:14" x14ac:dyDescent="0.2">
      <c r="B3" s="4"/>
    </row>
    <row r="4" spans="2:14" x14ac:dyDescent="0.2">
      <c r="B4" s="21" t="s">
        <v>0</v>
      </c>
    </row>
    <row r="5" spans="2:14" s="1" customFormat="1" ht="28" thickBot="1" x14ac:dyDescent="0.25">
      <c r="B5" s="22"/>
      <c r="C5" s="2" t="s">
        <v>13</v>
      </c>
      <c r="D5" s="3"/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K5" s="3"/>
      <c r="L5" s="3"/>
      <c r="N5" s="5"/>
    </row>
    <row r="6" spans="2:14" x14ac:dyDescent="0.2">
      <c r="B6" s="6" t="s">
        <v>1</v>
      </c>
    </row>
    <row r="7" spans="2:14" ht="15" customHeight="1" x14ac:dyDescent="0.2">
      <c r="B7" s="6" t="s">
        <v>40</v>
      </c>
      <c r="C7" s="4">
        <f>'P&amp;L '!O7</f>
        <v>228000</v>
      </c>
      <c r="E7" s="4">
        <v>350000</v>
      </c>
      <c r="F7" s="4">
        <f>E7*(1+55%)</f>
        <v>542500</v>
      </c>
      <c r="G7" s="4">
        <f>F7*(1+58%)</f>
        <v>857150</v>
      </c>
      <c r="H7" s="4">
        <f>G7*(1+60%)</f>
        <v>1371440</v>
      </c>
      <c r="I7" s="4">
        <f>H7*(1+60%)</f>
        <v>2194304</v>
      </c>
      <c r="K7" s="31"/>
      <c r="L7" s="31"/>
    </row>
    <row r="8" spans="2:14" ht="17" customHeight="1" x14ac:dyDescent="0.2">
      <c r="B8" s="6" t="s">
        <v>41</v>
      </c>
      <c r="C8" s="4">
        <f>'P&amp;L '!O8</f>
        <v>0</v>
      </c>
      <c r="E8" s="4">
        <v>0</v>
      </c>
      <c r="F8" s="4">
        <v>2600000</v>
      </c>
      <c r="G8" s="4">
        <v>3900000</v>
      </c>
      <c r="H8" s="4">
        <v>5000000</v>
      </c>
      <c r="I8" s="4">
        <v>5500000</v>
      </c>
    </row>
    <row r="9" spans="2:14" x14ac:dyDescent="0.2">
      <c r="B9" s="6" t="s">
        <v>39</v>
      </c>
      <c r="C9" s="4">
        <f>'P&amp;L '!O9</f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2:14" x14ac:dyDescent="0.2">
      <c r="B10" s="21" t="s">
        <v>2</v>
      </c>
      <c r="C10" s="4">
        <f>'P&amp;L '!O10</f>
        <v>228000</v>
      </c>
      <c r="E10" s="4">
        <f t="shared" ref="E10" si="0">E8+E9+E7</f>
        <v>350000</v>
      </c>
      <c r="F10" s="4">
        <f>F8+F9+F7</f>
        <v>3142500</v>
      </c>
      <c r="G10" s="4">
        <f>G8+G9+G7</f>
        <v>4757150</v>
      </c>
      <c r="H10" s="4">
        <f>H8+H9+H7</f>
        <v>6371440</v>
      </c>
      <c r="I10" s="4">
        <f>I8+I9+I7</f>
        <v>7694304</v>
      </c>
    </row>
    <row r="12" spans="2:14" x14ac:dyDescent="0.2">
      <c r="B12" s="6" t="s">
        <v>3</v>
      </c>
    </row>
    <row r="13" spans="2:14" x14ac:dyDescent="0.2">
      <c r="B13" s="6" t="s">
        <v>35</v>
      </c>
      <c r="C13" s="43">
        <f>'P&amp;L '!O13</f>
        <v>91200</v>
      </c>
      <c r="E13" s="4">
        <f>E10*40%</f>
        <v>140000</v>
      </c>
      <c r="F13" s="4">
        <f>F10*40%</f>
        <v>1257000</v>
      </c>
      <c r="G13" s="4">
        <f t="shared" ref="G13:I13" si="1">G10*40%</f>
        <v>1902860</v>
      </c>
      <c r="H13" s="4">
        <f t="shared" si="1"/>
        <v>2548576</v>
      </c>
      <c r="I13" s="4">
        <f t="shared" si="1"/>
        <v>3077721.6</v>
      </c>
    </row>
    <row r="14" spans="2:14" x14ac:dyDescent="0.2">
      <c r="B14" s="44" t="s">
        <v>36</v>
      </c>
      <c r="C14" s="25">
        <f>'P&amp;L '!O14</f>
        <v>136800</v>
      </c>
      <c r="D14" s="25"/>
      <c r="E14" s="50">
        <f>E10-E13</f>
        <v>210000</v>
      </c>
      <c r="F14" s="50">
        <f t="shared" ref="F14:I14" si="2">F10-F13</f>
        <v>1885500</v>
      </c>
      <c r="G14" s="50">
        <f t="shared" ref="G14" si="3">G10-G13</f>
        <v>2854290</v>
      </c>
      <c r="H14" s="50">
        <f t="shared" ref="H14" si="4">H10-H13</f>
        <v>3822864</v>
      </c>
      <c r="I14" s="50">
        <f t="shared" si="2"/>
        <v>4616582.4000000004</v>
      </c>
    </row>
    <row r="15" spans="2:14" x14ac:dyDescent="0.2">
      <c r="B15" s="21"/>
    </row>
    <row r="16" spans="2:14" x14ac:dyDescent="0.2">
      <c r="B16" s="12" t="s">
        <v>34</v>
      </c>
      <c r="F16" s="7"/>
      <c r="G16" s="10"/>
      <c r="H16" s="10"/>
      <c r="I16" s="10"/>
      <c r="K16" s="10"/>
      <c r="L16" s="10"/>
    </row>
    <row r="17" spans="2:12" x14ac:dyDescent="0.2">
      <c r="B17" s="6" t="s">
        <v>38</v>
      </c>
      <c r="C17" s="4">
        <f>'P&amp;L '!O17</f>
        <v>432000</v>
      </c>
      <c r="E17" s="4">
        <v>432000</v>
      </c>
      <c r="F17" s="4">
        <v>1512000</v>
      </c>
      <c r="G17" s="4">
        <v>1512000</v>
      </c>
      <c r="H17" s="4">
        <v>1512000</v>
      </c>
      <c r="I17" s="4">
        <v>1512000</v>
      </c>
    </row>
    <row r="18" spans="2:12" x14ac:dyDescent="0.2">
      <c r="B18" s="4" t="s">
        <v>37</v>
      </c>
      <c r="C18" s="4">
        <f>'P&amp;L '!O18</f>
        <v>240000</v>
      </c>
      <c r="E18" s="4">
        <v>240000</v>
      </c>
      <c r="F18" s="4">
        <v>1440000</v>
      </c>
      <c r="G18" s="4">
        <v>1440000</v>
      </c>
      <c r="H18" s="4">
        <v>1440000</v>
      </c>
      <c r="I18" s="4">
        <v>1440000</v>
      </c>
    </row>
    <row r="19" spans="2:12" x14ac:dyDescent="0.2">
      <c r="B19" s="48" t="s">
        <v>103</v>
      </c>
      <c r="C19" s="4">
        <f>'P&amp;L '!O19</f>
        <v>36000</v>
      </c>
      <c r="E19" s="4">
        <v>36000</v>
      </c>
      <c r="F19" s="4">
        <v>96000</v>
      </c>
      <c r="G19" s="4">
        <v>96000</v>
      </c>
      <c r="H19" s="4">
        <v>96000</v>
      </c>
      <c r="I19" s="4">
        <v>96000</v>
      </c>
    </row>
    <row r="20" spans="2:12" x14ac:dyDescent="0.2">
      <c r="B20" s="49" t="s">
        <v>111</v>
      </c>
      <c r="C20" s="4">
        <f>'P&amp;L '!O20</f>
        <v>10800</v>
      </c>
      <c r="E20" s="4">
        <f>E7*5%</f>
        <v>17500</v>
      </c>
      <c r="F20" s="4">
        <f>F7*5%</f>
        <v>27125</v>
      </c>
      <c r="G20" s="4">
        <f>G7*5%</f>
        <v>42857.5</v>
      </c>
      <c r="H20" s="32">
        <f t="shared" ref="H20" si="5">H7*5%</f>
        <v>68572</v>
      </c>
      <c r="I20" s="32">
        <f>I7*5%</f>
        <v>109715.20000000001</v>
      </c>
    </row>
    <row r="21" spans="2:12" x14ac:dyDescent="0.2">
      <c r="B21" s="48" t="s">
        <v>106</v>
      </c>
      <c r="C21" s="4">
        <f>'P&amp;L '!O21</f>
        <v>11400</v>
      </c>
      <c r="E21" s="4">
        <f>E7/1000*50</f>
        <v>17500</v>
      </c>
      <c r="F21" s="4">
        <f>F7/1000*50</f>
        <v>27125</v>
      </c>
      <c r="G21" s="4">
        <f>G7/1000*50</f>
        <v>42857.5</v>
      </c>
      <c r="H21" s="32">
        <f t="shared" ref="H21" si="6">H7/1000*50</f>
        <v>68572</v>
      </c>
      <c r="I21" s="32">
        <f>I7/1000*50</f>
        <v>109715.20000000001</v>
      </c>
      <c r="J21" s="4" t="s">
        <v>118</v>
      </c>
    </row>
    <row r="22" spans="2:12" x14ac:dyDescent="0.2">
      <c r="B22" s="49" t="s">
        <v>112</v>
      </c>
      <c r="C22" s="4">
        <f>'P&amp;L '!O22</f>
        <v>4560</v>
      </c>
      <c r="E22" s="4">
        <f>E7*2%</f>
        <v>7000</v>
      </c>
      <c r="F22" s="4">
        <f>F7*2%</f>
        <v>10850</v>
      </c>
      <c r="G22" s="4">
        <f>G7*2%</f>
        <v>17143</v>
      </c>
      <c r="H22" s="32">
        <f t="shared" ref="H22" si="7">H7*2%</f>
        <v>27428.799999999999</v>
      </c>
      <c r="I22" s="32">
        <f>I7*2%</f>
        <v>43886.080000000002</v>
      </c>
    </row>
    <row r="23" spans="2:12" x14ac:dyDescent="0.2">
      <c r="B23" s="49" t="s">
        <v>113</v>
      </c>
      <c r="C23" s="4">
        <f>'P&amp;L '!O23</f>
        <v>61000</v>
      </c>
      <c r="E23" s="4">
        <v>12000</v>
      </c>
      <c r="F23" s="4">
        <v>12000</v>
      </c>
      <c r="G23" s="4">
        <v>12000</v>
      </c>
      <c r="H23" s="4">
        <v>12000</v>
      </c>
      <c r="I23" s="4">
        <v>12000</v>
      </c>
    </row>
    <row r="24" spans="2:12" x14ac:dyDescent="0.2">
      <c r="B24" s="49" t="s">
        <v>114</v>
      </c>
      <c r="C24" s="4">
        <f>'P&amp;L '!O24</f>
        <v>39600</v>
      </c>
      <c r="E24" s="4">
        <f>C10*20%</f>
        <v>45600</v>
      </c>
      <c r="F24" s="4">
        <f>E10*20%</f>
        <v>70000</v>
      </c>
      <c r="G24" s="4">
        <f>F10*10%</f>
        <v>314250</v>
      </c>
      <c r="H24" s="4">
        <f>G10*10%</f>
        <v>475715</v>
      </c>
      <c r="I24" s="4">
        <f>H10*10%</f>
        <v>637144</v>
      </c>
    </row>
    <row r="25" spans="2:12" x14ac:dyDescent="0.2">
      <c r="B25" s="49" t="s">
        <v>115</v>
      </c>
      <c r="C25" s="4">
        <f>'P&amp;L '!O25</f>
        <v>2280</v>
      </c>
      <c r="E25" s="4">
        <f>E7*1%</f>
        <v>3500</v>
      </c>
      <c r="F25" s="4">
        <f>F10*1.5%</f>
        <v>47137.5</v>
      </c>
      <c r="G25" s="4">
        <f>G10*1.5%</f>
        <v>71357.25</v>
      </c>
      <c r="H25" s="4">
        <f>H10*1.5%</f>
        <v>95571.599999999991</v>
      </c>
      <c r="I25" s="4">
        <f>I10*1.5%</f>
        <v>115414.56</v>
      </c>
    </row>
    <row r="26" spans="2:12" x14ac:dyDescent="0.2">
      <c r="B26" s="49" t="s">
        <v>116</v>
      </c>
      <c r="C26" s="43">
        <f>'P&amp;L '!O26</f>
        <v>837640</v>
      </c>
      <c r="E26" s="4">
        <f>SUM(E17:E25)</f>
        <v>811100</v>
      </c>
      <c r="F26" s="4">
        <f>SUM(F17:F25)</f>
        <v>3242237.5</v>
      </c>
      <c r="G26" s="4">
        <f>SUM(G17:G25)</f>
        <v>3548465.25</v>
      </c>
      <c r="H26" s="4">
        <f>SUM(H17:H25)</f>
        <v>3795859.4</v>
      </c>
      <c r="I26" s="4">
        <f>SUM(I17:I25)</f>
        <v>4075875.0400000005</v>
      </c>
    </row>
    <row r="27" spans="2:12" x14ac:dyDescent="0.2">
      <c r="B27" s="21" t="s">
        <v>4</v>
      </c>
      <c r="C27" s="4">
        <f>'P&amp;L '!O27</f>
        <v>-700840</v>
      </c>
      <c r="E27" s="4">
        <f>E14-E26</f>
        <v>-601100</v>
      </c>
      <c r="F27" s="4">
        <f>F14-F26</f>
        <v>-1356737.5</v>
      </c>
      <c r="G27" s="4">
        <f>G14-G26</f>
        <v>-694175.25</v>
      </c>
      <c r="H27" s="4">
        <f>H14-H26</f>
        <v>27004.600000000093</v>
      </c>
      <c r="I27" s="4">
        <f>I14-I26</f>
        <v>540707.35999999987</v>
      </c>
      <c r="K27" s="9"/>
      <c r="L27" s="9"/>
    </row>
    <row r="28" spans="2:12" x14ac:dyDescent="0.2">
      <c r="B28" s="6" t="s">
        <v>5</v>
      </c>
      <c r="C28" s="4">
        <f>'P&amp;L '!O28</f>
        <v>12000</v>
      </c>
      <c r="E28" s="4">
        <v>12000</v>
      </c>
      <c r="F28" s="4">
        <v>15000</v>
      </c>
      <c r="G28" s="4">
        <v>15000</v>
      </c>
      <c r="H28" s="4">
        <v>15000</v>
      </c>
      <c r="I28" s="4">
        <v>15000</v>
      </c>
    </row>
    <row r="29" spans="2:12" x14ac:dyDescent="0.2">
      <c r="B29" s="21" t="s">
        <v>6</v>
      </c>
      <c r="C29" s="4">
        <f>'P&amp;L '!O29</f>
        <v>-712840</v>
      </c>
      <c r="E29" s="4">
        <f>E27-E28</f>
        <v>-613100</v>
      </c>
      <c r="F29" s="4">
        <f t="shared" ref="F29:I29" si="8">F27-F28</f>
        <v>-1371737.5</v>
      </c>
      <c r="G29" s="4">
        <f>G27-G28</f>
        <v>-709175.25</v>
      </c>
      <c r="H29" s="32">
        <f t="shared" si="8"/>
        <v>12004.600000000093</v>
      </c>
      <c r="I29" s="32">
        <f t="shared" si="8"/>
        <v>525707.35999999987</v>
      </c>
    </row>
    <row r="30" spans="2:12" x14ac:dyDescent="0.2">
      <c r="B30" s="6" t="s">
        <v>117</v>
      </c>
      <c r="C30" s="4">
        <f>'P&amp;L '!O30</f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2:12" x14ac:dyDescent="0.2">
      <c r="B31" s="6" t="s">
        <v>7</v>
      </c>
      <c r="C31" s="4">
        <f>'P&amp;L '!O31</f>
        <v>-712840</v>
      </c>
      <c r="E31" s="4">
        <f>E29-E30</f>
        <v>-613100</v>
      </c>
      <c r="F31" s="4">
        <f t="shared" ref="F31:I31" si="9">F29-F30</f>
        <v>-1371737.5</v>
      </c>
      <c r="G31" s="4">
        <f t="shared" si="9"/>
        <v>-709175.25</v>
      </c>
      <c r="H31" s="32">
        <f t="shared" si="9"/>
        <v>12004.600000000093</v>
      </c>
      <c r="I31" s="32">
        <f t="shared" si="9"/>
        <v>525707.35999999987</v>
      </c>
    </row>
    <row r="32" spans="2:12" x14ac:dyDescent="0.2">
      <c r="B32" s="6" t="s">
        <v>8</v>
      </c>
      <c r="C32" s="9">
        <v>0.12</v>
      </c>
      <c r="E32" s="9">
        <v>0.12</v>
      </c>
      <c r="F32" s="9">
        <v>0.12</v>
      </c>
      <c r="G32" s="9">
        <v>0.12</v>
      </c>
      <c r="H32" s="9">
        <v>0.12</v>
      </c>
      <c r="I32" s="9">
        <v>0.12</v>
      </c>
    </row>
    <row r="33" spans="2:9" x14ac:dyDescent="0.2">
      <c r="B33" s="6" t="s">
        <v>9</v>
      </c>
      <c r="C33" s="4">
        <v>0</v>
      </c>
      <c r="E33" s="4">
        <v>0</v>
      </c>
      <c r="F33" s="4">
        <v>0</v>
      </c>
      <c r="G33" s="32">
        <v>0</v>
      </c>
      <c r="H33" s="32">
        <f t="shared" ref="H33:I33" si="10">H31*H32</f>
        <v>1440.552000000011</v>
      </c>
      <c r="I33" s="32">
        <f t="shared" si="10"/>
        <v>63084.883199999982</v>
      </c>
    </row>
    <row r="34" spans="2:9" x14ac:dyDescent="0.2">
      <c r="B34" s="21" t="s">
        <v>47</v>
      </c>
      <c r="C34" s="4">
        <f>C31-C33</f>
        <v>-712840</v>
      </c>
      <c r="E34" s="4">
        <f>E31-E33</f>
        <v>-613100</v>
      </c>
      <c r="F34" s="4">
        <f t="shared" ref="F34:G34" si="11">F31-F33</f>
        <v>-1371737.5</v>
      </c>
      <c r="G34" s="4">
        <f t="shared" si="11"/>
        <v>-709175.25</v>
      </c>
      <c r="H34" s="32">
        <f t="shared" ref="H34:I34" si="12">H31-H33</f>
        <v>10564.048000000083</v>
      </c>
      <c r="I34" s="32">
        <f t="shared" si="12"/>
        <v>462622.47679999989</v>
      </c>
    </row>
    <row r="35" spans="2:9" x14ac:dyDescent="0.2">
      <c r="B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D581-2754-A549-A266-871BDAA8A638}">
  <dimension ref="B3:L20"/>
  <sheetViews>
    <sheetView zoomScale="120" zoomScaleNormal="120" workbookViewId="0">
      <selection activeCell="I22" sqref="I22"/>
    </sheetView>
  </sheetViews>
  <sheetFormatPr baseColWidth="10" defaultRowHeight="16" x14ac:dyDescent="0.2"/>
  <cols>
    <col min="1" max="1" width="3.6640625" style="4" customWidth="1"/>
    <col min="2" max="2" width="33.33203125" style="4" customWidth="1"/>
    <col min="3" max="16384" width="10.83203125" style="4"/>
  </cols>
  <sheetData>
    <row r="3" spans="2:12" s="1" customFormat="1" ht="31" thickBot="1" x14ac:dyDescent="0.2">
      <c r="C3" s="29"/>
      <c r="D3" s="17" t="s">
        <v>11</v>
      </c>
      <c r="E3" s="17" t="s">
        <v>12</v>
      </c>
      <c r="F3" s="17" t="s">
        <v>13</v>
      </c>
      <c r="G3" s="28"/>
      <c r="H3" s="28"/>
      <c r="I3" s="28"/>
      <c r="J3" s="28"/>
      <c r="K3" s="28"/>
      <c r="L3" s="28"/>
    </row>
    <row r="5" spans="2:12" x14ac:dyDescent="0.2">
      <c r="B5" s="30" t="s">
        <v>43</v>
      </c>
    </row>
    <row r="6" spans="2:12" x14ac:dyDescent="0.2">
      <c r="B6" s="4" t="s">
        <v>47</v>
      </c>
      <c r="D6" s="4">
        <f>'P&amp;L Forecast'!C29</f>
        <v>-712840</v>
      </c>
      <c r="E6" s="4">
        <f>'P&amp;L Forecast'!E29</f>
        <v>-613100</v>
      </c>
      <c r="F6" s="4">
        <f>'P&amp;L Forecast'!F29</f>
        <v>-1371737.5</v>
      </c>
    </row>
    <row r="7" spans="2:12" x14ac:dyDescent="0.2">
      <c r="B7" s="23" t="s">
        <v>70</v>
      </c>
      <c r="D7" s="4">
        <f>'P&amp;L Forecast'!C23</f>
        <v>61000</v>
      </c>
      <c r="E7" s="4">
        <f>'P&amp;L Forecast'!E23</f>
        <v>12000</v>
      </c>
      <c r="F7" s="4">
        <f>'P&amp;L Forecast'!F23</f>
        <v>12000</v>
      </c>
    </row>
    <row r="8" spans="2:12" x14ac:dyDescent="0.2">
      <c r="B8" s="4" t="s">
        <v>66</v>
      </c>
      <c r="D8" s="4">
        <f>SUM(D6:D7)</f>
        <v>-651840</v>
      </c>
      <c r="E8" s="4">
        <f t="shared" ref="E8:F8" si="0">SUM(E6:E7)</f>
        <v>-601100</v>
      </c>
      <c r="F8" s="4">
        <f t="shared" si="0"/>
        <v>-1359737.5</v>
      </c>
    </row>
    <row r="11" spans="2:12" x14ac:dyDescent="0.2">
      <c r="B11" s="30" t="s">
        <v>44</v>
      </c>
    </row>
    <row r="12" spans="2:12" x14ac:dyDescent="0.2">
      <c r="B12" s="4" t="s">
        <v>46</v>
      </c>
      <c r="D12" s="4">
        <v>50000</v>
      </c>
      <c r="E12" s="4">
        <v>50000</v>
      </c>
      <c r="F12" s="4">
        <v>50000</v>
      </c>
    </row>
    <row r="13" spans="2:12" x14ac:dyDescent="0.2">
      <c r="B13" s="4" t="s">
        <v>69</v>
      </c>
      <c r="D13" s="4">
        <f>D12</f>
        <v>50000</v>
      </c>
      <c r="E13" s="4">
        <f t="shared" ref="E13:F13" si="1">E12</f>
        <v>50000</v>
      </c>
      <c r="F13" s="4">
        <f t="shared" si="1"/>
        <v>50000</v>
      </c>
    </row>
    <row r="16" spans="2:12" x14ac:dyDescent="0.2">
      <c r="B16" s="30" t="s">
        <v>45</v>
      </c>
      <c r="D16" s="4">
        <v>0</v>
      </c>
      <c r="E16" s="4">
        <v>0</v>
      </c>
      <c r="F16" s="4">
        <v>0</v>
      </c>
    </row>
    <row r="18" spans="2:6" x14ac:dyDescent="0.2">
      <c r="B18" s="4" t="s">
        <v>67</v>
      </c>
      <c r="D18" s="4">
        <f>'Balance sheet'!C7</f>
        <v>100000</v>
      </c>
      <c r="E18" s="4">
        <f>'Balance sheet'!D7</f>
        <v>150000</v>
      </c>
      <c r="F18" s="4">
        <f>'Balance sheet'!E7</f>
        <v>200000</v>
      </c>
    </row>
    <row r="19" spans="2:6" x14ac:dyDescent="0.2">
      <c r="B19" s="4" t="s">
        <v>68</v>
      </c>
      <c r="D19" s="4">
        <f>D8-D13-D16</f>
        <v>-701840</v>
      </c>
      <c r="E19" s="4">
        <f>E8-E13-E16</f>
        <v>-651100</v>
      </c>
      <c r="F19" s="4">
        <f>F8-F13-F16</f>
        <v>-1409737.5</v>
      </c>
    </row>
    <row r="20" spans="2:6" x14ac:dyDescent="0.2">
      <c r="B20" s="4" t="s">
        <v>71</v>
      </c>
      <c r="D20" s="4">
        <f>D19-D18</f>
        <v>-801840</v>
      </c>
      <c r="E20" s="4">
        <f t="shared" ref="E20:F20" si="2">E19-E18</f>
        <v>-801100</v>
      </c>
      <c r="F20" s="4">
        <f t="shared" si="2"/>
        <v>-1609737.5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4BD8-F372-A54E-A275-350D21552112}">
  <dimension ref="B3:E25"/>
  <sheetViews>
    <sheetView topLeftCell="A2" zoomScale="120" zoomScaleNormal="120" workbookViewId="0">
      <selection activeCell="A2" sqref="A2"/>
    </sheetView>
  </sheetViews>
  <sheetFormatPr baseColWidth="10" defaultRowHeight="16" x14ac:dyDescent="0.2"/>
  <cols>
    <col min="1" max="1" width="3.5" style="4" customWidth="1"/>
    <col min="2" max="2" width="23.1640625" style="4" bestFit="1" customWidth="1"/>
    <col min="3" max="4" width="10.83203125" style="4"/>
    <col min="5" max="5" width="13" style="4" customWidth="1"/>
    <col min="6" max="16384" width="10.83203125" style="4"/>
  </cols>
  <sheetData>
    <row r="3" spans="2:5" ht="27" x14ac:dyDescent="0.2">
      <c r="B3" s="26" t="s">
        <v>64</v>
      </c>
      <c r="C3" s="27" t="s">
        <v>11</v>
      </c>
      <c r="D3" s="27" t="s">
        <v>12</v>
      </c>
      <c r="E3" s="27" t="s">
        <v>13</v>
      </c>
    </row>
    <row r="5" spans="2:5" x14ac:dyDescent="0.2">
      <c r="B5" s="24" t="s">
        <v>48</v>
      </c>
    </row>
    <row r="6" spans="2:5" x14ac:dyDescent="0.2">
      <c r="B6" s="4" t="s">
        <v>49</v>
      </c>
    </row>
    <row r="7" spans="2:5" x14ac:dyDescent="0.2">
      <c r="B7" s="4" t="s">
        <v>50</v>
      </c>
      <c r="C7" s="4">
        <v>100000</v>
      </c>
      <c r="D7" s="4">
        <v>150000</v>
      </c>
      <c r="E7" s="4">
        <v>200000</v>
      </c>
    </row>
    <row r="8" spans="2:5" x14ac:dyDescent="0.2">
      <c r="B8" s="4" t="s">
        <v>51</v>
      </c>
      <c r="C8" s="4">
        <v>40000</v>
      </c>
      <c r="D8" s="4">
        <v>60000</v>
      </c>
      <c r="E8" s="4">
        <v>75000</v>
      </c>
    </row>
    <row r="9" spans="2:5" x14ac:dyDescent="0.2">
      <c r="B9" s="25" t="s">
        <v>52</v>
      </c>
      <c r="C9" s="25">
        <f>SUM(C7,C8)</f>
        <v>140000</v>
      </c>
      <c r="D9" s="25">
        <f t="shared" ref="D9:E9" si="0">SUM(D7,D8)</f>
        <v>210000</v>
      </c>
      <c r="E9" s="25">
        <f t="shared" si="0"/>
        <v>275000</v>
      </c>
    </row>
    <row r="10" spans="2:5" x14ac:dyDescent="0.2">
      <c r="B10" s="4" t="s">
        <v>53</v>
      </c>
    </row>
    <row r="11" spans="2:5" x14ac:dyDescent="0.2">
      <c r="B11" s="4" t="s">
        <v>54</v>
      </c>
      <c r="C11" s="4">
        <v>50000</v>
      </c>
      <c r="D11" s="4">
        <v>100000</v>
      </c>
      <c r="E11" s="4">
        <v>150000</v>
      </c>
    </row>
    <row r="12" spans="2:5" x14ac:dyDescent="0.2">
      <c r="B12" s="25" t="s">
        <v>55</v>
      </c>
      <c r="C12" s="25">
        <f>C9+C11</f>
        <v>190000</v>
      </c>
      <c r="D12" s="25">
        <f t="shared" ref="D12:E12" si="1">D9+D11</f>
        <v>310000</v>
      </c>
      <c r="E12" s="25">
        <f t="shared" si="1"/>
        <v>425000</v>
      </c>
    </row>
    <row r="14" spans="2:5" x14ac:dyDescent="0.2">
      <c r="B14" s="24" t="s">
        <v>56</v>
      </c>
    </row>
    <row r="15" spans="2:5" x14ac:dyDescent="0.2">
      <c r="B15" s="4" t="s">
        <v>57</v>
      </c>
    </row>
    <row r="16" spans="2:5" x14ac:dyDescent="0.2">
      <c r="B16" s="4" t="s">
        <v>58</v>
      </c>
      <c r="C16" s="4">
        <v>100000</v>
      </c>
      <c r="D16" s="4">
        <v>150000</v>
      </c>
      <c r="E16" s="4">
        <v>180000</v>
      </c>
    </row>
    <row r="17" spans="2:5" x14ac:dyDescent="0.2">
      <c r="B17" s="25" t="s">
        <v>59</v>
      </c>
      <c r="C17" s="25">
        <f>C16</f>
        <v>100000</v>
      </c>
      <c r="D17" s="25">
        <f t="shared" ref="D17:E17" si="2">D16</f>
        <v>150000</v>
      </c>
      <c r="E17" s="25">
        <f t="shared" si="2"/>
        <v>180000</v>
      </c>
    </row>
    <row r="19" spans="2:5" x14ac:dyDescent="0.2">
      <c r="B19" s="24" t="s">
        <v>60</v>
      </c>
    </row>
    <row r="20" spans="2:5" x14ac:dyDescent="0.2">
      <c r="B20" s="4" t="s">
        <v>61</v>
      </c>
      <c r="C20" s="4">
        <v>90000</v>
      </c>
      <c r="D20" s="4">
        <v>160000</v>
      </c>
      <c r="E20" s="4">
        <v>245000</v>
      </c>
    </row>
    <row r="21" spans="2:5" x14ac:dyDescent="0.2">
      <c r="B21" s="25" t="s">
        <v>62</v>
      </c>
      <c r="C21" s="25">
        <f>C20</f>
        <v>90000</v>
      </c>
      <c r="D21" s="25">
        <f t="shared" ref="D21:E21" si="3">D20</f>
        <v>160000</v>
      </c>
      <c r="E21" s="25">
        <f t="shared" si="3"/>
        <v>245000</v>
      </c>
    </row>
    <row r="23" spans="2:5" x14ac:dyDescent="0.2">
      <c r="B23" s="25" t="s">
        <v>63</v>
      </c>
      <c r="C23" s="25">
        <f>C17+C21</f>
        <v>190000</v>
      </c>
      <c r="D23" s="25">
        <f t="shared" ref="D23:E23" si="4">D17+D21</f>
        <v>310000</v>
      </c>
      <c r="E23" s="25">
        <f t="shared" si="4"/>
        <v>425000</v>
      </c>
    </row>
    <row r="25" spans="2:5" x14ac:dyDescent="0.2">
      <c r="B25" s="4" t="s">
        <v>65</v>
      </c>
      <c r="C25" s="4">
        <f>C12-C23</f>
        <v>0</v>
      </c>
      <c r="D25" s="4">
        <f t="shared" ref="D25:E25" si="5">D12-D23</f>
        <v>0</v>
      </c>
      <c r="E25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F52F-60F5-2640-9399-4FFA3BEB0CDD}">
  <dimension ref="B3:M13"/>
  <sheetViews>
    <sheetView zoomScale="118" workbookViewId="0">
      <selection activeCell="J15" sqref="J15"/>
    </sheetView>
  </sheetViews>
  <sheetFormatPr baseColWidth="10" defaultRowHeight="16" x14ac:dyDescent="0.2"/>
  <cols>
    <col min="1" max="1" width="4.83203125" style="4" customWidth="1"/>
    <col min="2" max="2" width="19" style="4" bestFit="1" customWidth="1"/>
    <col min="3" max="6" width="10.83203125" style="4"/>
    <col min="7" max="7" width="12.1640625" style="4" bestFit="1" customWidth="1"/>
    <col min="8" max="16384" width="10.83203125" style="4"/>
  </cols>
  <sheetData>
    <row r="3" spans="2:13" s="1" customFormat="1" ht="28" thickBot="1" x14ac:dyDescent="0.25">
      <c r="B3" s="22"/>
      <c r="C3" s="2" t="s">
        <v>11</v>
      </c>
      <c r="D3" s="2" t="s">
        <v>12</v>
      </c>
      <c r="E3" s="2" t="s">
        <v>13</v>
      </c>
      <c r="F3" s="3"/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M3" s="5"/>
    </row>
    <row r="5" spans="2:13" x14ac:dyDescent="0.2">
      <c r="B5" s="4" t="s">
        <v>10</v>
      </c>
      <c r="C5" s="4">
        <f>'P&amp;L Forecast'!C29</f>
        <v>-712840</v>
      </c>
      <c r="D5" s="4">
        <f>'P&amp;L Forecast'!E29</f>
        <v>-613100</v>
      </c>
      <c r="E5" s="4">
        <f>'P&amp;L Forecast'!F29</f>
        <v>-1371737.5</v>
      </c>
      <c r="G5" s="4">
        <f>'P&amp;L Forecast'!G29</f>
        <v>-709175.25</v>
      </c>
      <c r="H5" s="4">
        <f>'P&amp;L Forecast'!H29</f>
        <v>12004.600000000093</v>
      </c>
      <c r="I5" s="4">
        <f>'P&amp;L Forecast'!I29</f>
        <v>525707.35999999987</v>
      </c>
      <c r="J5" s="4">
        <f>'P&amp;L Forecast'!K29</f>
        <v>0</v>
      </c>
      <c r="K5" s="4">
        <f>'P&amp;L Forecast'!L29</f>
        <v>0</v>
      </c>
    </row>
    <row r="6" spans="2:13" x14ac:dyDescent="0.2">
      <c r="B6" s="6" t="s">
        <v>42</v>
      </c>
      <c r="C6" s="4">
        <f>'P&amp;L Forecast'!C23</f>
        <v>61000</v>
      </c>
      <c r="D6" s="4">
        <f>'P&amp;L Forecast'!E23</f>
        <v>12000</v>
      </c>
      <c r="E6" s="4">
        <f>'P&amp;L Forecast'!F23</f>
        <v>12000</v>
      </c>
      <c r="G6" s="4">
        <f>'P&amp;L Forecast'!G23</f>
        <v>12000</v>
      </c>
      <c r="H6" s="4">
        <f>'P&amp;L Forecast'!H23</f>
        <v>12000</v>
      </c>
      <c r="I6" s="4">
        <f>'P&amp;L Forecast'!I23</f>
        <v>12000</v>
      </c>
      <c r="J6" s="4">
        <f>'P&amp;L Forecast'!K23</f>
        <v>0</v>
      </c>
      <c r="K6" s="4">
        <f>'P&amp;L Forecast'!L23</f>
        <v>0</v>
      </c>
    </row>
    <row r="7" spans="2:13" x14ac:dyDescent="0.2">
      <c r="B7" s="4" t="s">
        <v>72</v>
      </c>
      <c r="C7" s="4">
        <v>50000</v>
      </c>
      <c r="D7" s="4">
        <v>50000</v>
      </c>
      <c r="E7" s="4">
        <v>50000</v>
      </c>
      <c r="G7" s="4">
        <v>100000</v>
      </c>
      <c r="H7" s="4">
        <v>100000</v>
      </c>
      <c r="I7" s="4">
        <v>100000</v>
      </c>
      <c r="J7" s="4">
        <v>100000</v>
      </c>
      <c r="K7" s="4">
        <v>100000</v>
      </c>
    </row>
    <row r="8" spans="2:13" x14ac:dyDescent="0.2">
      <c r="B8" s="4" t="s">
        <v>73</v>
      </c>
      <c r="C8" s="4">
        <f>'Balance sheet'!C9-'Balance sheet'!C17</f>
        <v>40000</v>
      </c>
      <c r="D8" s="4">
        <f>'Balance sheet'!D9-'Balance sheet'!D17</f>
        <v>60000</v>
      </c>
      <c r="E8" s="4">
        <f>'Balance sheet'!E9-'Balance sheet'!E17</f>
        <v>95000</v>
      </c>
      <c r="G8" s="4">
        <f>E8*(1+65%)</f>
        <v>156750</v>
      </c>
      <c r="H8" s="32">
        <f>G8*(1+65%)</f>
        <v>258637.5</v>
      </c>
      <c r="I8" s="32">
        <f>H8*(1+65%)</f>
        <v>426751.875</v>
      </c>
      <c r="J8" s="32">
        <f>I8*(1+65%)</f>
        <v>704140.59375</v>
      </c>
      <c r="K8" s="32">
        <f>J8*(1+65%)</f>
        <v>1161831.9796875</v>
      </c>
    </row>
    <row r="9" spans="2:13" x14ac:dyDescent="0.2">
      <c r="B9" s="33" t="s">
        <v>74</v>
      </c>
      <c r="C9" s="33">
        <f>C5+C6-C7-C8</f>
        <v>-741840</v>
      </c>
      <c r="D9" s="33">
        <f t="shared" ref="D9:E9" si="0">D5+D6-D7-D8</f>
        <v>-711100</v>
      </c>
      <c r="E9" s="33">
        <f t="shared" si="0"/>
        <v>-1504737.5</v>
      </c>
      <c r="F9" s="33"/>
      <c r="G9" s="33">
        <f>G5+G6-G7-G8</f>
        <v>-953925.25</v>
      </c>
      <c r="H9" s="34">
        <f t="shared" ref="H9" si="1">H5+H6-H7-H8</f>
        <v>-334632.89999999991</v>
      </c>
      <c r="I9" s="34">
        <f>I5+I6-I7-I8</f>
        <v>10955.48499999987</v>
      </c>
      <c r="J9" s="34">
        <f t="shared" ref="J9" si="2">J5+J6-J7-J8</f>
        <v>-804140.59375</v>
      </c>
      <c r="K9" s="34">
        <f t="shared" ref="K9" si="3">K5+K6-K7-K8</f>
        <v>-1261831.9796875</v>
      </c>
    </row>
    <row r="13" spans="2:13" x14ac:dyDescent="0.2">
      <c r="E13" s="31"/>
      <c r="F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A835-9828-0448-80D9-C6F559C90CCB}">
  <dimension ref="A3:B12"/>
  <sheetViews>
    <sheetView zoomScale="125" workbookViewId="0">
      <selection activeCell="E13" sqref="E13"/>
    </sheetView>
  </sheetViews>
  <sheetFormatPr baseColWidth="10" defaultRowHeight="16" x14ac:dyDescent="0.2"/>
  <cols>
    <col min="1" max="1" width="13" style="4" bestFit="1" customWidth="1"/>
    <col min="2" max="16384" width="10.83203125" style="4"/>
  </cols>
  <sheetData>
    <row r="3" spans="1:2" x14ac:dyDescent="0.2">
      <c r="A3" s="52" t="s">
        <v>75</v>
      </c>
      <c r="B3" s="53"/>
    </row>
    <row r="5" spans="1:2" x14ac:dyDescent="0.2">
      <c r="A5" s="35" t="s">
        <v>76</v>
      </c>
      <c r="B5" s="35">
        <f>'Balance sheet'!E21</f>
        <v>245000</v>
      </c>
    </row>
    <row r="6" spans="1:2" x14ac:dyDescent="0.2">
      <c r="A6" s="35" t="s">
        <v>77</v>
      </c>
      <c r="B6" s="35">
        <f>'Balance sheet'!E16</f>
        <v>180000</v>
      </c>
    </row>
    <row r="7" spans="1:2" x14ac:dyDescent="0.2">
      <c r="A7" s="35" t="s">
        <v>78</v>
      </c>
      <c r="B7" s="36">
        <v>7.0000000000000007E-2</v>
      </c>
    </row>
    <row r="8" spans="1:2" x14ac:dyDescent="0.2">
      <c r="A8" s="35" t="s">
        <v>79</v>
      </c>
      <c r="B8" s="36">
        <v>0.12</v>
      </c>
    </row>
    <row r="9" spans="1:2" x14ac:dyDescent="0.2">
      <c r="A9" s="35" t="s">
        <v>80</v>
      </c>
      <c r="B9" s="36">
        <v>0.06</v>
      </c>
    </row>
    <row r="10" spans="1:2" x14ac:dyDescent="0.2">
      <c r="A10" s="35" t="s">
        <v>82</v>
      </c>
      <c r="B10" s="35">
        <f>B5/(B5+B6)</f>
        <v>0.57647058823529407</v>
      </c>
    </row>
    <row r="11" spans="1:2" x14ac:dyDescent="0.2">
      <c r="A11" s="35" t="s">
        <v>83</v>
      </c>
      <c r="B11" s="35">
        <f>B6/(B5+B6)</f>
        <v>0.42352941176470588</v>
      </c>
    </row>
    <row r="12" spans="1:2" x14ac:dyDescent="0.2">
      <c r="A12" s="37" t="s">
        <v>81</v>
      </c>
      <c r="B12" s="38">
        <f>(B10*B9)+(B11*B7)*(1-B8)</f>
        <v>6.0677647058823531E-2</v>
      </c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5C5B-9E3E-174F-94AC-2416675D7081}">
  <dimension ref="B3:M18"/>
  <sheetViews>
    <sheetView topLeftCell="A2" zoomScale="150" workbookViewId="0">
      <selection activeCell="G18" sqref="G18"/>
    </sheetView>
  </sheetViews>
  <sheetFormatPr baseColWidth="10" defaultRowHeight="16" x14ac:dyDescent="0.2"/>
  <cols>
    <col min="1" max="1" width="5.5" style="4" customWidth="1"/>
    <col min="2" max="2" width="17.6640625" style="4" bestFit="1" customWidth="1"/>
    <col min="3" max="3" width="13.6640625" style="4" bestFit="1" customWidth="1"/>
    <col min="4" max="6" width="10.83203125" style="4"/>
    <col min="7" max="7" width="20.33203125" style="4" bestFit="1" customWidth="1"/>
    <col min="8" max="16384" width="10.83203125" style="4"/>
  </cols>
  <sheetData>
    <row r="3" spans="2:13" s="1" customFormat="1" ht="28" thickBot="1" x14ac:dyDescent="0.25">
      <c r="B3" s="22"/>
      <c r="C3" s="2" t="s">
        <v>11</v>
      </c>
      <c r="D3" s="2" t="s">
        <v>12</v>
      </c>
      <c r="E3" s="2" t="s">
        <v>13</v>
      </c>
      <c r="F3" s="3"/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M3" s="5"/>
    </row>
    <row r="5" spans="2:13" x14ac:dyDescent="0.2">
      <c r="B5" s="4" t="s">
        <v>74</v>
      </c>
      <c r="C5" s="4">
        <f>'  FreeCash Flow'!C9</f>
        <v>-741840</v>
      </c>
      <c r="D5" s="4">
        <f>'  FreeCash Flow'!D9</f>
        <v>-711100</v>
      </c>
      <c r="E5" s="4">
        <f>'  FreeCash Flow'!E9</f>
        <v>-1504737.5</v>
      </c>
      <c r="G5" s="4">
        <f>'  FreeCash Flow'!G9</f>
        <v>-953925.25</v>
      </c>
      <c r="H5" s="4">
        <f>'  FreeCash Flow'!H9</f>
        <v>-334632.89999999991</v>
      </c>
      <c r="I5" s="4">
        <f>'  FreeCash Flow'!I9</f>
        <v>10955.48499999987</v>
      </c>
      <c r="J5" s="4">
        <f>'  FreeCash Flow'!J9</f>
        <v>-804140.59375</v>
      </c>
      <c r="K5" s="4">
        <f>'  FreeCash Flow'!K9</f>
        <v>-1261831.9796875</v>
      </c>
    </row>
    <row r="6" spans="2:13" x14ac:dyDescent="0.2">
      <c r="B6" s="4" t="s">
        <v>85</v>
      </c>
      <c r="G6" s="4">
        <v>1</v>
      </c>
      <c r="H6" s="4">
        <v>2</v>
      </c>
      <c r="I6" s="4">
        <v>3</v>
      </c>
      <c r="J6" s="4">
        <v>4</v>
      </c>
      <c r="K6" s="4">
        <v>5</v>
      </c>
    </row>
    <row r="8" spans="2:13" x14ac:dyDescent="0.2">
      <c r="B8" s="33" t="s">
        <v>84</v>
      </c>
      <c r="C8" s="34"/>
      <c r="D8" s="34"/>
      <c r="E8" s="34"/>
      <c r="F8" s="34"/>
      <c r="G8" s="34">
        <f>G5/(1+$C$12)^G6</f>
        <v>-899354.5330621046</v>
      </c>
      <c r="H8" s="34">
        <f t="shared" ref="H8:K8" si="0">H5/(1+$C$12)^H6</f>
        <v>-297441.66537677683</v>
      </c>
      <c r="I8" s="34">
        <f t="shared" si="0"/>
        <v>9180.8175964329748</v>
      </c>
      <c r="J8" s="34">
        <f t="shared" si="0"/>
        <v>-635328.47433499002</v>
      </c>
      <c r="K8" s="34">
        <f t="shared" si="0"/>
        <v>-939906.05463880207</v>
      </c>
    </row>
    <row r="10" spans="2:13" x14ac:dyDescent="0.2">
      <c r="B10" s="4" t="s">
        <v>90</v>
      </c>
      <c r="C10" s="32">
        <f>SUM(G8:K8)</f>
        <v>-2762849.9098162404</v>
      </c>
    </row>
    <row r="11" spans="2:13" x14ac:dyDescent="0.2">
      <c r="B11" s="4" t="s">
        <v>87</v>
      </c>
      <c r="C11" s="9">
        <v>7.0000000000000007E-2</v>
      </c>
      <c r="E11" s="32"/>
    </row>
    <row r="12" spans="2:13" x14ac:dyDescent="0.2">
      <c r="B12" s="4" t="s">
        <v>81</v>
      </c>
      <c r="C12" s="39">
        <f>WACC!B12</f>
        <v>6.0677647058823531E-2</v>
      </c>
    </row>
    <row r="13" spans="2:13" x14ac:dyDescent="0.2">
      <c r="B13" s="4" t="s">
        <v>86</v>
      </c>
      <c r="C13" s="32">
        <f>(K5*(1+C11))/(C12-C11)</f>
        <v>144830412.10572699</v>
      </c>
    </row>
    <row r="14" spans="2:13" x14ac:dyDescent="0.2">
      <c r="B14" s="4" t="s">
        <v>88</v>
      </c>
      <c r="C14" s="32">
        <f>C13/(1+C12)^K6</f>
        <v>107880433.70696491</v>
      </c>
      <c r="D14" s="32"/>
      <c r="G14" s="32"/>
    </row>
    <row r="15" spans="2:13" x14ac:dyDescent="0.2">
      <c r="B15" s="4" t="s">
        <v>89</v>
      </c>
      <c r="C15" s="32">
        <f>SUM(C14+C10)</f>
        <v>105117583.79714867</v>
      </c>
    </row>
    <row r="18" spans="4:4" x14ac:dyDescent="0.2">
      <c r="D1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P&amp;L assumptions</vt:lpstr>
      <vt:lpstr>P&amp;L </vt:lpstr>
      <vt:lpstr>P&amp;L Forecast</vt:lpstr>
      <vt:lpstr>Cash flow</vt:lpstr>
      <vt:lpstr>Balance sheet</vt:lpstr>
      <vt:lpstr>  FreeCash Flow</vt:lpstr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chopra</dc:creator>
  <cp:lastModifiedBy>Chirag Chopra</cp:lastModifiedBy>
  <dcterms:created xsi:type="dcterms:W3CDTF">2024-03-01T06:22:30Z</dcterms:created>
  <dcterms:modified xsi:type="dcterms:W3CDTF">2025-06-02T07:38:11Z</dcterms:modified>
</cp:coreProperties>
</file>