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MyAssignments\Transverse\"/>
    </mc:Choice>
  </mc:AlternateContent>
  <bookViews>
    <workbookView xWindow="0" yWindow="0" windowWidth="28800" windowHeight="11400"/>
  </bookViews>
  <sheets>
    <sheet name="2023 05 ALIS" sheetId="1" r:id="rId1"/>
  </sheets>
  <definedNames>
    <definedName name="_xlnm._FilterDatabase" localSheetId="0" hidden="1">'2023 05 ALIS'!$A$1:$BT$1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S46" i="1" l="1"/>
  <c r="BR46" i="1"/>
  <c r="BN46" i="1"/>
  <c r="BF46" i="1"/>
  <c r="BE46" i="1"/>
  <c r="BD46" i="1"/>
  <c r="BB46" i="1"/>
  <c r="AV46" i="1"/>
  <c r="AS46" i="1"/>
  <c r="AR46" i="1"/>
  <c r="AQ46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H46" i="1"/>
  <c r="F46" i="1"/>
  <c r="E46" i="1"/>
  <c r="D46" i="1"/>
  <c r="C46" i="1"/>
  <c r="B46" i="1"/>
  <c r="A46" i="1"/>
  <c r="BS45" i="1"/>
  <c r="BR45" i="1"/>
  <c r="BN45" i="1"/>
  <c r="BF45" i="1"/>
  <c r="BE45" i="1"/>
  <c r="BD45" i="1"/>
  <c r="BB45" i="1"/>
  <c r="AV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H45" i="1"/>
  <c r="F45" i="1"/>
  <c r="E45" i="1"/>
  <c r="D45" i="1"/>
  <c r="C45" i="1"/>
  <c r="B45" i="1"/>
  <c r="A45" i="1"/>
  <c r="BS44" i="1"/>
  <c r="BR44" i="1"/>
  <c r="BN44" i="1"/>
  <c r="BF44" i="1"/>
  <c r="BE44" i="1"/>
  <c r="BD44" i="1"/>
  <c r="BB44" i="1"/>
  <c r="AV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H44" i="1"/>
  <c r="F44" i="1"/>
  <c r="E44" i="1"/>
  <c r="D44" i="1"/>
  <c r="C44" i="1"/>
  <c r="B44" i="1"/>
  <c r="A44" i="1"/>
  <c r="BS43" i="1"/>
  <c r="BR43" i="1"/>
  <c r="BN43" i="1"/>
  <c r="BF43" i="1"/>
  <c r="BE43" i="1"/>
  <c r="BD43" i="1"/>
  <c r="BB43" i="1"/>
  <c r="AV43" i="1"/>
  <c r="AS43" i="1"/>
  <c r="AR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H43" i="1"/>
  <c r="F43" i="1"/>
  <c r="E43" i="1"/>
  <c r="D43" i="1"/>
  <c r="C43" i="1"/>
  <c r="B43" i="1"/>
  <c r="A43" i="1"/>
  <c r="BS42" i="1"/>
  <c r="BR42" i="1"/>
  <c r="BN42" i="1"/>
  <c r="BF42" i="1"/>
  <c r="BE42" i="1"/>
  <c r="BD42" i="1"/>
  <c r="BB42" i="1"/>
  <c r="AV42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H42" i="1"/>
  <c r="F42" i="1"/>
  <c r="E42" i="1"/>
  <c r="D42" i="1"/>
  <c r="C42" i="1"/>
  <c r="B42" i="1"/>
  <c r="A42" i="1"/>
  <c r="BS41" i="1"/>
  <c r="BR41" i="1"/>
  <c r="BN41" i="1"/>
  <c r="BF41" i="1"/>
  <c r="BE41" i="1"/>
  <c r="BD41" i="1"/>
  <c r="BB41" i="1"/>
  <c r="AV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H41" i="1"/>
  <c r="F41" i="1"/>
  <c r="E41" i="1"/>
  <c r="D41" i="1"/>
  <c r="C41" i="1"/>
  <c r="B41" i="1"/>
  <c r="A41" i="1"/>
  <c r="BS40" i="1"/>
  <c r="BR40" i="1"/>
  <c r="BN40" i="1"/>
  <c r="BF40" i="1"/>
  <c r="BE40" i="1"/>
  <c r="BD40" i="1"/>
  <c r="BB40" i="1"/>
  <c r="AV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H40" i="1"/>
  <c r="F40" i="1"/>
  <c r="E40" i="1"/>
  <c r="D40" i="1"/>
  <c r="C40" i="1"/>
  <c r="B40" i="1"/>
  <c r="A40" i="1"/>
  <c r="BS39" i="1"/>
  <c r="BR39" i="1"/>
  <c r="BN39" i="1"/>
  <c r="BF39" i="1"/>
  <c r="BE39" i="1"/>
  <c r="BD39" i="1"/>
  <c r="BB39" i="1"/>
  <c r="AV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H39" i="1"/>
  <c r="F39" i="1"/>
  <c r="E39" i="1"/>
  <c r="D39" i="1"/>
  <c r="C39" i="1"/>
  <c r="B39" i="1"/>
  <c r="A39" i="1"/>
  <c r="BS38" i="1"/>
  <c r="BR38" i="1"/>
  <c r="BN38" i="1"/>
  <c r="BF38" i="1"/>
  <c r="BE38" i="1"/>
  <c r="BD38" i="1"/>
  <c r="BB38" i="1"/>
  <c r="AV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H38" i="1"/>
  <c r="F38" i="1"/>
  <c r="E38" i="1"/>
  <c r="D38" i="1"/>
  <c r="C38" i="1"/>
  <c r="B38" i="1"/>
  <c r="A38" i="1"/>
  <c r="BS37" i="1"/>
  <c r="BR37" i="1"/>
  <c r="BN37" i="1"/>
  <c r="BF37" i="1"/>
  <c r="BE37" i="1"/>
  <c r="BD37" i="1"/>
  <c r="BB37" i="1"/>
  <c r="AV37" i="1"/>
  <c r="AS37" i="1"/>
  <c r="AR37" i="1"/>
  <c r="AQ37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H37" i="1"/>
  <c r="F37" i="1"/>
  <c r="E37" i="1"/>
  <c r="D37" i="1"/>
  <c r="C37" i="1"/>
  <c r="B37" i="1"/>
  <c r="A37" i="1"/>
  <c r="BS36" i="1"/>
  <c r="BR36" i="1"/>
  <c r="BN36" i="1"/>
  <c r="BF36" i="1"/>
  <c r="BE36" i="1"/>
  <c r="BD36" i="1"/>
  <c r="BB36" i="1"/>
  <c r="AV36" i="1"/>
  <c r="AS36" i="1"/>
  <c r="AR36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H36" i="1"/>
  <c r="F36" i="1"/>
  <c r="E36" i="1"/>
  <c r="D36" i="1"/>
  <c r="C36" i="1"/>
  <c r="B36" i="1"/>
  <c r="A36" i="1"/>
  <c r="BS35" i="1"/>
  <c r="BR35" i="1"/>
  <c r="BN35" i="1"/>
  <c r="BF35" i="1"/>
  <c r="BE35" i="1"/>
  <c r="BD35" i="1"/>
  <c r="BB35" i="1"/>
  <c r="AV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H35" i="1"/>
  <c r="F35" i="1"/>
  <c r="E35" i="1"/>
  <c r="D35" i="1"/>
  <c r="C35" i="1"/>
  <c r="B35" i="1"/>
  <c r="A35" i="1"/>
  <c r="BS34" i="1"/>
  <c r="BR34" i="1"/>
  <c r="BN34" i="1"/>
  <c r="BF34" i="1"/>
  <c r="BE34" i="1"/>
  <c r="BD34" i="1"/>
  <c r="BB34" i="1"/>
  <c r="AV34" i="1"/>
  <c r="AS34" i="1"/>
  <c r="AR34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H34" i="1"/>
  <c r="F34" i="1"/>
  <c r="E34" i="1"/>
  <c r="D34" i="1"/>
  <c r="C34" i="1"/>
  <c r="B34" i="1"/>
  <c r="A34" i="1"/>
  <c r="BS33" i="1"/>
  <c r="BR33" i="1"/>
  <c r="BN33" i="1"/>
  <c r="BF33" i="1"/>
  <c r="BE33" i="1"/>
  <c r="BD33" i="1"/>
  <c r="BB33" i="1"/>
  <c r="AV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H33" i="1"/>
  <c r="F33" i="1"/>
  <c r="E33" i="1"/>
  <c r="D33" i="1"/>
  <c r="C33" i="1"/>
  <c r="B33" i="1"/>
  <c r="A33" i="1"/>
  <c r="BS32" i="1"/>
  <c r="BR32" i="1"/>
  <c r="BN32" i="1"/>
  <c r="BF32" i="1"/>
  <c r="BE32" i="1"/>
  <c r="BD32" i="1"/>
  <c r="BB32" i="1"/>
  <c r="AV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H32" i="1"/>
  <c r="F32" i="1"/>
  <c r="E32" i="1"/>
  <c r="D32" i="1"/>
  <c r="C32" i="1"/>
  <c r="B32" i="1"/>
  <c r="A32" i="1"/>
  <c r="BS31" i="1"/>
  <c r="BR31" i="1"/>
  <c r="BN31" i="1"/>
  <c r="BF31" i="1"/>
  <c r="BE31" i="1"/>
  <c r="BD31" i="1"/>
  <c r="BB31" i="1"/>
  <c r="AV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H31" i="1"/>
  <c r="F31" i="1"/>
  <c r="E31" i="1"/>
  <c r="D31" i="1"/>
  <c r="C31" i="1"/>
  <c r="B31" i="1"/>
  <c r="A31" i="1"/>
  <c r="BS30" i="1"/>
  <c r="BR30" i="1"/>
  <c r="BN30" i="1"/>
  <c r="BF30" i="1"/>
  <c r="BE30" i="1"/>
  <c r="BD30" i="1"/>
  <c r="BB30" i="1"/>
  <c r="AV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H30" i="1"/>
  <c r="F30" i="1"/>
  <c r="E30" i="1"/>
  <c r="D30" i="1"/>
  <c r="C30" i="1"/>
  <c r="B30" i="1"/>
  <c r="A30" i="1"/>
  <c r="BS29" i="1"/>
  <c r="BR29" i="1"/>
  <c r="BN29" i="1"/>
  <c r="BF29" i="1"/>
  <c r="BE29" i="1"/>
  <c r="BD29" i="1"/>
  <c r="BB29" i="1"/>
  <c r="AV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H29" i="1"/>
  <c r="F29" i="1"/>
  <c r="E29" i="1"/>
  <c r="D29" i="1"/>
  <c r="C29" i="1"/>
  <c r="B29" i="1"/>
  <c r="A29" i="1"/>
  <c r="BS28" i="1"/>
  <c r="BR28" i="1"/>
  <c r="BN28" i="1"/>
  <c r="BF28" i="1"/>
  <c r="BE28" i="1"/>
  <c r="BD28" i="1"/>
  <c r="BB28" i="1"/>
  <c r="AV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H28" i="1"/>
  <c r="F28" i="1"/>
  <c r="E28" i="1"/>
  <c r="D28" i="1"/>
  <c r="C28" i="1"/>
  <c r="B28" i="1"/>
  <c r="A28" i="1"/>
  <c r="BS27" i="1"/>
  <c r="BR27" i="1"/>
  <c r="BN27" i="1"/>
  <c r="BF27" i="1"/>
  <c r="BE27" i="1"/>
  <c r="BD27" i="1"/>
  <c r="BB27" i="1"/>
  <c r="AV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H27" i="1"/>
  <c r="F27" i="1"/>
  <c r="E27" i="1"/>
  <c r="D27" i="1"/>
  <c r="C27" i="1"/>
  <c r="B27" i="1"/>
  <c r="A27" i="1"/>
  <c r="BS26" i="1"/>
  <c r="BR26" i="1"/>
  <c r="BN26" i="1"/>
  <c r="BF26" i="1"/>
  <c r="BE26" i="1"/>
  <c r="BD26" i="1"/>
  <c r="BB26" i="1"/>
  <c r="AV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H26" i="1"/>
  <c r="F26" i="1"/>
  <c r="E26" i="1"/>
  <c r="D26" i="1"/>
  <c r="C26" i="1"/>
  <c r="B26" i="1"/>
  <c r="A26" i="1"/>
  <c r="BS25" i="1"/>
  <c r="BR25" i="1"/>
  <c r="BN25" i="1"/>
  <c r="BF25" i="1"/>
  <c r="BE25" i="1"/>
  <c r="BD25" i="1"/>
  <c r="BB25" i="1"/>
  <c r="AV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H25" i="1"/>
  <c r="F25" i="1"/>
  <c r="E25" i="1"/>
  <c r="D25" i="1"/>
  <c r="C25" i="1"/>
  <c r="B25" i="1"/>
  <c r="A25" i="1"/>
  <c r="BS24" i="1"/>
  <c r="BR24" i="1"/>
  <c r="BN24" i="1"/>
  <c r="BF24" i="1"/>
  <c r="BE24" i="1"/>
  <c r="BD24" i="1"/>
  <c r="BB24" i="1"/>
  <c r="AV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H24" i="1"/>
  <c r="F24" i="1"/>
  <c r="E24" i="1"/>
  <c r="D24" i="1"/>
  <c r="C24" i="1"/>
  <c r="B24" i="1"/>
  <c r="A24" i="1"/>
  <c r="BS23" i="1"/>
  <c r="BR23" i="1"/>
  <c r="BN23" i="1"/>
  <c r="BF23" i="1"/>
  <c r="BE23" i="1"/>
  <c r="BD23" i="1"/>
  <c r="BB23" i="1"/>
  <c r="AV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H23" i="1"/>
  <c r="F23" i="1"/>
  <c r="E23" i="1"/>
  <c r="D23" i="1"/>
  <c r="C23" i="1"/>
  <c r="B23" i="1"/>
  <c r="A23" i="1"/>
  <c r="BS22" i="1"/>
  <c r="BR22" i="1"/>
  <c r="BN22" i="1"/>
  <c r="BF22" i="1"/>
  <c r="BE22" i="1"/>
  <c r="BD22" i="1"/>
  <c r="BB22" i="1"/>
  <c r="AV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H22" i="1"/>
  <c r="F22" i="1"/>
  <c r="E22" i="1"/>
  <c r="D22" i="1"/>
  <c r="C22" i="1"/>
  <c r="B22" i="1"/>
  <c r="A22" i="1"/>
  <c r="BS21" i="1"/>
  <c r="BR21" i="1"/>
  <c r="BN21" i="1"/>
  <c r="BF21" i="1"/>
  <c r="BE21" i="1"/>
  <c r="BD21" i="1"/>
  <c r="BB21" i="1"/>
  <c r="AV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H21" i="1"/>
  <c r="F21" i="1"/>
  <c r="E21" i="1"/>
  <c r="D21" i="1"/>
  <c r="C21" i="1"/>
  <c r="B21" i="1"/>
  <c r="A21" i="1"/>
  <c r="BS20" i="1"/>
  <c r="BR20" i="1"/>
  <c r="BN20" i="1"/>
  <c r="BF20" i="1"/>
  <c r="BE20" i="1"/>
  <c r="BD20" i="1"/>
  <c r="BB20" i="1"/>
  <c r="AV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H20" i="1"/>
  <c r="F20" i="1"/>
  <c r="E20" i="1"/>
  <c r="D20" i="1"/>
  <c r="C20" i="1"/>
  <c r="B20" i="1"/>
  <c r="A20" i="1"/>
  <c r="BS19" i="1"/>
  <c r="BR19" i="1"/>
  <c r="BN19" i="1"/>
  <c r="BF19" i="1"/>
  <c r="BE19" i="1"/>
  <c r="BD19" i="1"/>
  <c r="BB19" i="1"/>
  <c r="AV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H19" i="1"/>
  <c r="F19" i="1"/>
  <c r="E19" i="1"/>
  <c r="D19" i="1"/>
  <c r="C19" i="1"/>
  <c r="B19" i="1"/>
  <c r="A19" i="1"/>
  <c r="BS18" i="1"/>
  <c r="BR18" i="1"/>
  <c r="BN18" i="1"/>
  <c r="BF18" i="1"/>
  <c r="BE18" i="1"/>
  <c r="BD18" i="1"/>
  <c r="BB18" i="1"/>
  <c r="AV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H18" i="1"/>
  <c r="F18" i="1"/>
  <c r="E18" i="1"/>
  <c r="D18" i="1"/>
  <c r="C18" i="1"/>
  <c r="B18" i="1"/>
  <c r="A18" i="1"/>
  <c r="BS17" i="1"/>
  <c r="BR17" i="1"/>
  <c r="BN17" i="1"/>
  <c r="BF17" i="1"/>
  <c r="BE17" i="1"/>
  <c r="BD17" i="1"/>
  <c r="BB17" i="1"/>
  <c r="AV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H17" i="1"/>
  <c r="F17" i="1"/>
  <c r="E17" i="1"/>
  <c r="D17" i="1"/>
  <c r="C17" i="1"/>
  <c r="B17" i="1"/>
  <c r="A17" i="1"/>
  <c r="BS16" i="1"/>
  <c r="BR16" i="1"/>
  <c r="BN16" i="1"/>
  <c r="BF16" i="1"/>
  <c r="BE16" i="1"/>
  <c r="BD16" i="1"/>
  <c r="BB16" i="1"/>
  <c r="AV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H16" i="1"/>
  <c r="F16" i="1"/>
  <c r="E16" i="1"/>
  <c r="D16" i="1"/>
  <c r="C16" i="1"/>
  <c r="B16" i="1"/>
  <c r="A16" i="1"/>
  <c r="BS15" i="1"/>
  <c r="BR15" i="1"/>
  <c r="BN15" i="1"/>
  <c r="BF15" i="1"/>
  <c r="BE15" i="1"/>
  <c r="BD15" i="1"/>
  <c r="BB15" i="1"/>
  <c r="AV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H15" i="1"/>
  <c r="F15" i="1"/>
  <c r="E15" i="1"/>
  <c r="D15" i="1"/>
  <c r="C15" i="1"/>
  <c r="B15" i="1"/>
  <c r="A15" i="1"/>
  <c r="BS14" i="1"/>
  <c r="BR14" i="1"/>
  <c r="BN14" i="1"/>
  <c r="BF14" i="1"/>
  <c r="BE14" i="1"/>
  <c r="BD14" i="1"/>
  <c r="BB14" i="1"/>
  <c r="AV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H14" i="1"/>
  <c r="F14" i="1"/>
  <c r="E14" i="1"/>
  <c r="D14" i="1"/>
  <c r="C14" i="1"/>
  <c r="B14" i="1"/>
  <c r="A14" i="1"/>
  <c r="BS13" i="1"/>
  <c r="BR13" i="1"/>
  <c r="BN13" i="1"/>
  <c r="BF13" i="1"/>
  <c r="BE13" i="1"/>
  <c r="BD13" i="1"/>
  <c r="BB13" i="1"/>
  <c r="AV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H13" i="1"/>
  <c r="F13" i="1"/>
  <c r="E13" i="1"/>
  <c r="D13" i="1"/>
  <c r="C13" i="1"/>
  <c r="B13" i="1"/>
  <c r="A13" i="1"/>
  <c r="BS12" i="1"/>
  <c r="BR12" i="1"/>
  <c r="BN12" i="1"/>
  <c r="BF12" i="1"/>
  <c r="BE12" i="1"/>
  <c r="BD12" i="1"/>
  <c r="BB12" i="1"/>
  <c r="AV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H12" i="1"/>
  <c r="F12" i="1"/>
  <c r="E12" i="1"/>
  <c r="D12" i="1"/>
  <c r="C12" i="1"/>
  <c r="B12" i="1"/>
  <c r="A12" i="1"/>
  <c r="BS11" i="1"/>
  <c r="BR11" i="1"/>
  <c r="BN11" i="1"/>
  <c r="BF11" i="1"/>
  <c r="BE11" i="1"/>
  <c r="BD11" i="1"/>
  <c r="BB11" i="1"/>
  <c r="AV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H11" i="1"/>
  <c r="F11" i="1"/>
  <c r="E11" i="1"/>
  <c r="D11" i="1"/>
  <c r="C11" i="1"/>
  <c r="B11" i="1"/>
  <c r="A11" i="1"/>
  <c r="BS10" i="1"/>
  <c r="BR10" i="1"/>
  <c r="BN10" i="1"/>
  <c r="BF10" i="1"/>
  <c r="BE10" i="1"/>
  <c r="BD10" i="1"/>
  <c r="BB10" i="1"/>
  <c r="AV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H10" i="1"/>
  <c r="F10" i="1"/>
  <c r="E10" i="1"/>
  <c r="D10" i="1"/>
  <c r="C10" i="1"/>
  <c r="B10" i="1"/>
  <c r="A10" i="1"/>
  <c r="BS9" i="1"/>
  <c r="BR9" i="1"/>
  <c r="BN9" i="1"/>
  <c r="BF9" i="1"/>
  <c r="BE9" i="1"/>
  <c r="BD9" i="1"/>
  <c r="BB9" i="1"/>
  <c r="AV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H9" i="1"/>
  <c r="F9" i="1"/>
  <c r="E9" i="1"/>
  <c r="D9" i="1"/>
  <c r="C9" i="1"/>
  <c r="B9" i="1"/>
  <c r="A9" i="1"/>
  <c r="BS8" i="1"/>
  <c r="BR8" i="1"/>
  <c r="BN8" i="1"/>
  <c r="BF8" i="1"/>
  <c r="BE8" i="1"/>
  <c r="BD8" i="1"/>
  <c r="BB8" i="1"/>
  <c r="AV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H8" i="1"/>
  <c r="F8" i="1"/>
  <c r="E8" i="1"/>
  <c r="D8" i="1"/>
  <c r="C8" i="1"/>
  <c r="B8" i="1"/>
  <c r="A8" i="1"/>
  <c r="BS7" i="1"/>
  <c r="BR7" i="1"/>
  <c r="BN7" i="1"/>
  <c r="BF7" i="1"/>
  <c r="BE7" i="1"/>
  <c r="BD7" i="1"/>
  <c r="BB7" i="1"/>
  <c r="AV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H7" i="1"/>
  <c r="F7" i="1"/>
  <c r="E7" i="1"/>
  <c r="D7" i="1"/>
  <c r="C7" i="1"/>
  <c r="B7" i="1"/>
  <c r="A7" i="1"/>
  <c r="BS6" i="1"/>
  <c r="BR6" i="1"/>
  <c r="BN6" i="1"/>
  <c r="BF6" i="1"/>
  <c r="BE6" i="1"/>
  <c r="BD6" i="1"/>
  <c r="BB6" i="1"/>
  <c r="AV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H6" i="1"/>
  <c r="F6" i="1"/>
  <c r="E6" i="1"/>
  <c r="D6" i="1"/>
  <c r="C6" i="1"/>
  <c r="B6" i="1"/>
  <c r="A6" i="1"/>
  <c r="BS5" i="1"/>
  <c r="BR5" i="1"/>
  <c r="BN5" i="1"/>
  <c r="BF5" i="1"/>
  <c r="BE5" i="1"/>
  <c r="BD5" i="1"/>
  <c r="BB5" i="1"/>
  <c r="AV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H5" i="1"/>
  <c r="F5" i="1"/>
  <c r="E5" i="1"/>
  <c r="D5" i="1"/>
  <c r="C5" i="1"/>
  <c r="B5" i="1"/>
  <c r="A5" i="1"/>
  <c r="BS4" i="1"/>
  <c r="BR4" i="1"/>
  <c r="BN4" i="1"/>
  <c r="BF4" i="1"/>
  <c r="BE4" i="1"/>
  <c r="BD4" i="1"/>
  <c r="BB4" i="1"/>
  <c r="AV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H4" i="1"/>
  <c r="F4" i="1"/>
  <c r="E4" i="1"/>
  <c r="D4" i="1"/>
  <c r="C4" i="1"/>
  <c r="B4" i="1"/>
  <c r="A4" i="1"/>
  <c r="BS3" i="1"/>
  <c r="BR3" i="1"/>
  <c r="BN3" i="1"/>
  <c r="BF3" i="1"/>
  <c r="BE3" i="1"/>
  <c r="BD3" i="1"/>
  <c r="BB3" i="1"/>
  <c r="AV3" i="1"/>
  <c r="AS3" i="1"/>
  <c r="AR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H3" i="1"/>
  <c r="F3" i="1"/>
  <c r="E3" i="1"/>
  <c r="D3" i="1"/>
  <c r="C3" i="1"/>
  <c r="B3" i="1"/>
  <c r="A3" i="1"/>
  <c r="BS2" i="1"/>
  <c r="BR2" i="1"/>
  <c r="BN2" i="1"/>
  <c r="BF2" i="1"/>
  <c r="BE2" i="1"/>
  <c r="BD2" i="1"/>
  <c r="BB2" i="1"/>
  <c r="AV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H2" i="1"/>
  <c r="F2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<sst xmlns="http://schemas.openxmlformats.org/spreadsheetml/2006/main" count="74" uniqueCount="74">
  <si>
    <t>File #</t>
  </si>
  <si>
    <t>Policy #</t>
  </si>
  <si>
    <t>Insured</t>
  </si>
  <si>
    <t>NAICS Code</t>
  </si>
  <si>
    <t>NAICS</t>
  </si>
  <si>
    <t>Endt Type</t>
  </si>
  <si>
    <t>Dir Bill</t>
  </si>
  <si>
    <t>Invoice #</t>
  </si>
  <si>
    <t>Book Date</t>
  </si>
  <si>
    <t>Eff. Date</t>
  </si>
  <si>
    <t>Exp. Date</t>
  </si>
  <si>
    <t>Gross Comm(%)</t>
  </si>
  <si>
    <t>Agent Comm(%)</t>
  </si>
  <si>
    <t>Gross Premium</t>
  </si>
  <si>
    <t>Total INV Fees</t>
  </si>
  <si>
    <t>Total INV Taxes</t>
  </si>
  <si>
    <t>Income</t>
  </si>
  <si>
    <t>Income %</t>
  </si>
  <si>
    <t>Gross Comm Amt</t>
  </si>
  <si>
    <t>Agent Comm Amt</t>
  </si>
  <si>
    <t>Split</t>
  </si>
  <si>
    <t>Split %</t>
  </si>
  <si>
    <t>Agt #</t>
  </si>
  <si>
    <t>Agent</t>
  </si>
  <si>
    <t>Agent State - City</t>
  </si>
  <si>
    <t>Agt Status</t>
  </si>
  <si>
    <t>Producer</t>
  </si>
  <si>
    <t>Market Co #</t>
  </si>
  <si>
    <t>Market Co</t>
  </si>
  <si>
    <t>Mkt Co Status</t>
  </si>
  <si>
    <t>Risk Co #</t>
  </si>
  <si>
    <t>Risk Co</t>
  </si>
  <si>
    <t>Branch #</t>
  </si>
  <si>
    <t>Branch</t>
  </si>
  <si>
    <t>CostCenter</t>
  </si>
  <si>
    <t>Broker/UW</t>
  </si>
  <si>
    <t>Referring Broker/UW</t>
  </si>
  <si>
    <t>Office</t>
  </si>
  <si>
    <t>Assistant</t>
  </si>
  <si>
    <t>Prod Asso</t>
  </si>
  <si>
    <t>Entity</t>
  </si>
  <si>
    <t>LOB</t>
  </si>
  <si>
    <t>COB</t>
  </si>
  <si>
    <t>Trans Code</t>
  </si>
  <si>
    <t>Policy Type</t>
  </si>
  <si>
    <t>Ren Cnt</t>
  </si>
  <si>
    <t>Ag Acq..</t>
  </si>
  <si>
    <t>State</t>
  </si>
  <si>
    <t>Log In</t>
  </si>
  <si>
    <t>Quote Dt</t>
  </si>
  <si>
    <t>Invoice Dt</t>
  </si>
  <si>
    <t>Installment</t>
  </si>
  <si>
    <t>Syndicate</t>
  </si>
  <si>
    <t>Authority</t>
  </si>
  <si>
    <t>Is Portal Submitted</t>
  </si>
  <si>
    <t>Who Files</t>
  </si>
  <si>
    <t>Agent Address</t>
  </si>
  <si>
    <t>Agent Zipcode</t>
  </si>
  <si>
    <t>Split BR Fee</t>
  </si>
  <si>
    <t>Total Inv Rev Per(%)</t>
  </si>
  <si>
    <t>Broker Fee</t>
  </si>
  <si>
    <t>Broker Insp Fee</t>
  </si>
  <si>
    <t>Other Fee Amount</t>
  </si>
  <si>
    <t>Net Comm Amount</t>
  </si>
  <si>
    <t>Purchased Date</t>
  </si>
  <si>
    <t>Admitted</t>
  </si>
  <si>
    <t>BOR</t>
  </si>
  <si>
    <t>Fee Basis</t>
  </si>
  <si>
    <t>Notification Date</t>
  </si>
  <si>
    <t>Insured City</t>
  </si>
  <si>
    <t>Line Status</t>
  </si>
  <si>
    <t>Tran Eff. Date</t>
  </si>
  <si>
    <t>Records: 45</t>
  </si>
  <si>
    <t>Total Invoice: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</si>
</sst>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14" fontId="2" fillId="3" borderId="1" xfId="0" applyNumberFormat="1" applyFont="1" applyFill="1" applyBorder="1"/>
    <xf numFmtId="8" fontId="2" fillId="3" borderId="1" xfId="0" applyNumberFormat="1" applyFont="1" applyFill="1" applyBorder="1"/>
    <xf numFmtId="8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T47"/>
  <sheetViews>
    <sheetView tabSelected="1" workbookViewId="0">
      <selection activeCell="BT1" sqref="BT1"/>
    </sheetView>
  </sheetViews>
  <sheetFormatPr defaultRowHeight="15" x14ac:dyDescent="0.25"/>
  <cols>
    <col min="1" max="1" width="14.28515625" bestFit="1" customWidth="1"/>
    <col min="2" max="2" width="17.7109375" bestFit="1" customWidth="1"/>
    <col min="3" max="3" width="42.5703125" bestFit="1" customWidth="1"/>
    <col min="4" max="4" width="16.5703125" bestFit="1" customWidth="1"/>
    <col min="5" max="5" width="10.140625" bestFit="1" customWidth="1"/>
    <col min="6" max="6" width="14.5703125" bestFit="1" customWidth="1"/>
    <col min="7" max="7" width="10.7109375" bestFit="1" customWidth="1"/>
    <col min="8" max="8" width="19.7109375" bestFit="1" customWidth="1"/>
    <col min="9" max="9" width="15" bestFit="1" customWidth="1"/>
    <col min="10" max="10" width="13.140625" bestFit="1" customWidth="1"/>
    <col min="11" max="11" width="14.140625" bestFit="1" customWidth="1"/>
    <col min="12" max="12" width="21.42578125" bestFit="1" customWidth="1"/>
    <col min="13" max="13" width="21.5703125" bestFit="1" customWidth="1"/>
    <col min="14" max="14" width="20.7109375" bestFit="1" customWidth="1"/>
    <col min="15" max="15" width="19.7109375" bestFit="1" customWidth="1"/>
    <col min="16" max="16" width="21.140625" bestFit="1" customWidth="1"/>
    <col min="17" max="17" width="16" customWidth="1"/>
    <col min="18" max="18" width="14.28515625" bestFit="1" customWidth="1"/>
    <col min="19" max="19" width="23.140625" bestFit="1" customWidth="1"/>
    <col min="20" max="20" width="23.42578125" bestFit="1" customWidth="1"/>
    <col min="21" max="21" width="8.140625" bestFit="1" customWidth="1"/>
    <col min="22" max="22" width="10.85546875" bestFit="1" customWidth="1"/>
    <col min="23" max="23" width="9.140625" bestFit="1" customWidth="1"/>
    <col min="24" max="24" width="30.5703125" bestFit="1" customWidth="1"/>
    <col min="25" max="25" width="22.85546875" bestFit="1" customWidth="1"/>
    <col min="26" max="26" width="14.7109375" bestFit="1" customWidth="1"/>
    <col min="27" max="27" width="18.7109375" bestFit="1" customWidth="1"/>
    <col min="28" max="28" width="17.140625" bestFit="1" customWidth="1"/>
    <col min="29" max="29" width="35.140625" bestFit="1" customWidth="1"/>
    <col min="30" max="30" width="19.140625" bestFit="1" customWidth="1"/>
    <col min="31" max="31" width="13.42578125" bestFit="1" customWidth="1"/>
    <col min="32" max="32" width="35.140625" bestFit="1" customWidth="1"/>
    <col min="33" max="33" width="13.28515625" bestFit="1" customWidth="1"/>
    <col min="34" max="34" width="11.28515625" bestFit="1" customWidth="1"/>
    <col min="35" max="35" width="15.85546875" bestFit="1" customWidth="1"/>
    <col min="36" max="36" width="16.42578125" bestFit="1" customWidth="1"/>
    <col min="37" max="37" width="27.85546875" bestFit="1" customWidth="1"/>
    <col min="38" max="38" width="33.7109375" bestFit="1" customWidth="1"/>
    <col min="39" max="39" width="15.42578125" bestFit="1" customWidth="1"/>
    <col min="40" max="40" width="14.5703125" bestFit="1" customWidth="1"/>
    <col min="41" max="41" width="30.85546875" bestFit="1" customWidth="1"/>
    <col min="42" max="42" width="11.28515625" bestFit="1" customWidth="1"/>
    <col min="43" max="43" width="14.85546875" bestFit="1" customWidth="1"/>
    <col min="44" max="44" width="16" bestFit="1" customWidth="1"/>
    <col min="45" max="45" width="16.140625" bestFit="1" customWidth="1"/>
    <col min="46" max="46" width="12.140625" bestFit="1" customWidth="1"/>
    <col min="47" max="47" width="12.5703125" bestFit="1" customWidth="1"/>
    <col min="48" max="48" width="9.140625" bestFit="1" customWidth="1"/>
    <col min="49" max="49" width="10.42578125" bestFit="1" customWidth="1"/>
    <col min="50" max="50" width="13.5703125" bestFit="1" customWidth="1"/>
    <col min="51" max="51" width="14.5703125" bestFit="1" customWidth="1"/>
    <col min="52" max="52" width="16.140625" bestFit="1" customWidth="1"/>
    <col min="53" max="53" width="14.140625" bestFit="1" customWidth="1"/>
    <col min="54" max="54" width="14" bestFit="1" customWidth="1"/>
    <col min="55" max="55" width="25.140625" bestFit="1" customWidth="1"/>
    <col min="56" max="56" width="14.28515625" bestFit="1" customWidth="1"/>
    <col min="57" max="57" width="29.28515625" bestFit="1" customWidth="1"/>
    <col min="58" max="58" width="19.5703125" bestFit="1" customWidth="1"/>
    <col min="59" max="59" width="16.5703125" bestFit="1" customWidth="1"/>
    <col min="60" max="60" width="26.28515625" bestFit="1" customWidth="1"/>
    <col min="61" max="61" width="15.5703125" bestFit="1" customWidth="1"/>
    <col min="62" max="62" width="21.140625" bestFit="1" customWidth="1"/>
    <col min="63" max="63" width="24.42578125" bestFit="1" customWidth="1"/>
    <col min="64" max="64" width="25.28515625" bestFit="1" customWidth="1"/>
    <col min="65" max="65" width="21.28515625" bestFit="1" customWidth="1"/>
    <col min="66" max="66" width="13.85546875" bestFit="1" customWidth="1"/>
    <col min="67" max="67" width="8.140625" bestFit="1" customWidth="1"/>
    <col min="68" max="68" width="13.5703125" bestFit="1" customWidth="1"/>
    <col min="69" max="69" width="22.85546875" bestFit="1" customWidth="1"/>
    <col min="70" max="70" width="16.85546875" bestFit="1" customWidth="1"/>
    <col min="71" max="71" width="15.5703125" bestFit="1" customWidth="1"/>
    <col min="72" max="72" width="19.140625" bestFit="1" customWidth="1"/>
  </cols>
  <sheetData>
    <row r="1" spans="1:72" ht="19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25">
      <c r="A2" s="2" t="str">
        <f>("078203")</f>
        <v>078203</v>
      </c>
      <c r="B2" s="2" t="str">
        <f>("TSBAAC 0000002-00")</f>
        <v>TSBAAC 0000002-00</v>
      </c>
      <c r="C2" s="2" t="str">
        <f>("3D Aviation Inc")</f>
        <v>3D Aviation Inc</v>
      </c>
      <c r="D2" s="2" t="str">
        <f>("")</f>
        <v/>
      </c>
      <c r="E2" s="2" t="str">
        <f>("")</f>
        <v/>
      </c>
      <c r="F2" s="2" t="str">
        <f>("Endorsement")</f>
        <v>Endorsement</v>
      </c>
      <c r="G2" s="2" t="b">
        <v>0</v>
      </c>
      <c r="H2" s="2" t="str">
        <f>("INV41527")</f>
        <v>INV41527</v>
      </c>
      <c r="I2" s="3">
        <v>45047</v>
      </c>
      <c r="J2" s="3">
        <v>44818</v>
      </c>
      <c r="K2" s="3">
        <v>45183</v>
      </c>
      <c r="L2" s="2">
        <v>25</v>
      </c>
      <c r="M2" s="2">
        <v>15</v>
      </c>
      <c r="N2" s="4">
        <v>3185.38</v>
      </c>
      <c r="O2" s="4">
        <v>0</v>
      </c>
      <c r="P2" s="4">
        <v>0</v>
      </c>
      <c r="Q2" s="4">
        <v>318.54000000000002</v>
      </c>
      <c r="R2" s="2">
        <v>10</v>
      </c>
      <c r="S2" s="4">
        <v>796.35</v>
      </c>
      <c r="T2" s="4">
        <v>477.81</v>
      </c>
      <c r="U2" s="2" t="b">
        <v>0</v>
      </c>
      <c r="V2" s="2">
        <v>100</v>
      </c>
      <c r="W2" s="2" t="str">
        <f>("BEA1541")</f>
        <v>BEA1541</v>
      </c>
      <c r="X2" s="2" t="str">
        <f>("Plimsoll Specialty Markets LLC")</f>
        <v>Plimsoll Specialty Markets LLC</v>
      </c>
      <c r="Y2" s="2" t="str">
        <f>("GA - Atlanta")</f>
        <v>GA - Atlanta</v>
      </c>
      <c r="Z2" s="2" t="str">
        <f t="shared" ref="Z2:Z46" si="0">("Active")</f>
        <v>Active</v>
      </c>
      <c r="AA2" s="2" t="str">
        <f>("Dave McKenzie")</f>
        <v>Dave McKenzie</v>
      </c>
      <c r="AB2" s="2" t="str">
        <f>("mrk22")</f>
        <v>mrk22</v>
      </c>
      <c r="AC2" s="2" t="str">
        <f>("Transverse Specialty Insurance Company")</f>
        <v>Transverse Specialty Insurance Company</v>
      </c>
      <c r="AD2" s="2" t="str">
        <f t="shared" ref="AD2:AD46" si="1">("Active")</f>
        <v>Active</v>
      </c>
      <c r="AE2" s="2" t="str">
        <f>("rsk58")</f>
        <v>rsk58</v>
      </c>
      <c r="AF2" s="2" t="str">
        <f>("Transverse Specialty Insurance Company")</f>
        <v>Transverse Specialty Insurance Company</v>
      </c>
      <c r="AG2" s="2" t="str">
        <f>("")</f>
        <v/>
      </c>
      <c r="AH2" s="2" t="str">
        <f>("")</f>
        <v/>
      </c>
      <c r="AI2" s="2" t="str">
        <f t="shared" ref="AI2:AI46" si="2">("Beacon")</f>
        <v>Beacon</v>
      </c>
      <c r="AJ2" s="2" t="str">
        <f>("Thomas Hollinger")</f>
        <v>Thomas Hollinger</v>
      </c>
      <c r="AK2" s="2" t="str">
        <f t="shared" ref="AK2:AK46" si="3">(" ")</f>
        <v xml:space="preserve"> </v>
      </c>
      <c r="AL2" s="2" t="str">
        <f t="shared" ref="AL2:AL46" si="4">("Beacon Aviation Insurance Services - FL")</f>
        <v>Beacon Aviation Insurance Services - FL</v>
      </c>
      <c r="AM2" s="2" t="str">
        <f t="shared" ref="AM2:AM14" si="5">("Deborah Stafford")</f>
        <v>Deborah Stafford</v>
      </c>
      <c r="AN2" s="2" t="str">
        <f t="shared" ref="AN2:AN46" si="6">(" ")</f>
        <v xml:space="preserve"> </v>
      </c>
      <c r="AO2" s="2" t="str">
        <f t="shared" ref="AO2:AO46" si="7">("Beacon Aviation Insurance Services ")</f>
        <v xml:space="preserve">Beacon Aviation Insurance Services </v>
      </c>
      <c r="AP2" s="2" t="str">
        <f>("Aircraft")</f>
        <v>Aircraft</v>
      </c>
      <c r="AQ2" s="2" t="str">
        <f>("Commercial")</f>
        <v>Commercial</v>
      </c>
      <c r="AR2" s="2" t="str">
        <f>("Endorsement")</f>
        <v>Endorsement</v>
      </c>
      <c r="AS2" s="2" t="str">
        <f t="shared" ref="AS2:AS46" si="8">("New Business")</f>
        <v>New Business</v>
      </c>
      <c r="AT2" s="2"/>
      <c r="AU2" s="2"/>
      <c r="AV2" s="2" t="str">
        <f>("NY")</f>
        <v>NY</v>
      </c>
      <c r="AW2" s="3">
        <v>44818</v>
      </c>
      <c r="AX2" s="3">
        <v>44818</v>
      </c>
      <c r="AY2" s="3">
        <v>45044</v>
      </c>
      <c r="AZ2" s="2" t="b">
        <v>0</v>
      </c>
      <c r="BA2" s="2" t="b">
        <v>0</v>
      </c>
      <c r="BB2" s="2" t="str">
        <f t="shared" ref="BB2:BB46" si="9">("Brokerage")</f>
        <v>Brokerage</v>
      </c>
      <c r="BC2" s="2" t="b">
        <v>0</v>
      </c>
      <c r="BD2" s="2" t="str">
        <f t="shared" ref="BD2:BD46" si="10">("We File")</f>
        <v>We File</v>
      </c>
      <c r="BE2" s="2" t="str">
        <f>("3330 Cumberland Blvd")</f>
        <v>3330 Cumberland Blvd</v>
      </c>
      <c r="BF2" s="2" t="str">
        <f>("30339")</f>
        <v>30339</v>
      </c>
      <c r="BG2" s="4">
        <v>0</v>
      </c>
      <c r="BH2" s="2">
        <v>10</v>
      </c>
      <c r="BI2" s="4">
        <v>0</v>
      </c>
      <c r="BJ2" s="4">
        <v>0</v>
      </c>
      <c r="BK2" s="4">
        <v>0</v>
      </c>
      <c r="BL2" s="4">
        <v>318.54000000000002</v>
      </c>
      <c r="BM2" s="2"/>
      <c r="BN2" s="2" t="str">
        <f t="shared" ref="BN2:BN46" si="11">("Non Admitted")</f>
        <v>Non Admitted</v>
      </c>
      <c r="BO2" s="2" t="b">
        <v>0</v>
      </c>
      <c r="BP2" s="2" t="b">
        <v>0</v>
      </c>
      <c r="BQ2" s="2"/>
      <c r="BR2" s="2" t="str">
        <f>("E FARMINGDALE")</f>
        <v>E FARMINGDALE</v>
      </c>
      <c r="BS2" s="2" t="str">
        <f>("Active")</f>
        <v>Active</v>
      </c>
      <c r="BT2" s="3">
        <v>45047</v>
      </c>
    </row>
    <row r="3" spans="1:72" x14ac:dyDescent="0.25">
      <c r="A3" s="2" t="str">
        <f>("095989")</f>
        <v>095989</v>
      </c>
      <c r="B3" s="2" t="str">
        <f>("TSBAAC 0000091-00")</f>
        <v>TSBAAC 0000091-00</v>
      </c>
      <c r="C3" s="2" t="str">
        <f>("Venture Travel, LLC")</f>
        <v>Venture Travel, LLC</v>
      </c>
      <c r="D3" s="2" t="str">
        <f>("")</f>
        <v/>
      </c>
      <c r="E3" s="2" t="str">
        <f>("")</f>
        <v/>
      </c>
      <c r="F3" s="2" t="str">
        <f>("")</f>
        <v/>
      </c>
      <c r="G3" s="2" t="b">
        <v>0</v>
      </c>
      <c r="H3" s="2" t="str">
        <f>("INV44061-1")</f>
        <v>INV44061-1</v>
      </c>
      <c r="I3" s="3">
        <v>45047</v>
      </c>
      <c r="J3" s="3">
        <v>45047</v>
      </c>
      <c r="K3" s="3">
        <v>45413</v>
      </c>
      <c r="L3" s="2">
        <v>25</v>
      </c>
      <c r="M3" s="2">
        <v>15</v>
      </c>
      <c r="N3" s="4">
        <v>16577.5</v>
      </c>
      <c r="O3" s="4">
        <v>0</v>
      </c>
      <c r="P3" s="4">
        <v>0</v>
      </c>
      <c r="Q3" s="4">
        <v>1657.75</v>
      </c>
      <c r="R3" s="2">
        <v>10</v>
      </c>
      <c r="S3" s="4">
        <v>4144.38</v>
      </c>
      <c r="T3" s="4">
        <v>2486.63</v>
      </c>
      <c r="U3" s="2" t="b">
        <v>0</v>
      </c>
      <c r="V3" s="2">
        <v>100</v>
      </c>
      <c r="W3" s="2" t="str">
        <f>("BEA1085")</f>
        <v>BEA1085</v>
      </c>
      <c r="X3" s="2" t="str">
        <f>("Marsh USA Chicago, Inc., ")</f>
        <v xml:space="preserve">Marsh USA Chicago, Inc., </v>
      </c>
      <c r="Y3" s="2" t="str">
        <f>("IL - Chicago")</f>
        <v>IL - Chicago</v>
      </c>
      <c r="Z3" s="2" t="str">
        <f t="shared" si="0"/>
        <v>Active</v>
      </c>
      <c r="AA3" s="2" t="str">
        <f>("Brendan Patton")</f>
        <v>Brendan Patton</v>
      </c>
      <c r="AB3" s="2" t="str">
        <f>("mrk22")</f>
        <v>mrk22</v>
      </c>
      <c r="AC3" s="2" t="str">
        <f>("Transverse Specialty Insurance Company")</f>
        <v>Transverse Specialty Insurance Company</v>
      </c>
      <c r="AD3" s="2" t="str">
        <f t="shared" si="1"/>
        <v>Active</v>
      </c>
      <c r="AE3" s="2" t="str">
        <f>("rsk58")</f>
        <v>rsk58</v>
      </c>
      <c r="AF3" s="2" t="str">
        <f>("Transverse Specialty Insurance Company")</f>
        <v>Transverse Specialty Insurance Company</v>
      </c>
      <c r="AG3" s="2" t="str">
        <f>("")</f>
        <v/>
      </c>
      <c r="AH3" s="2" t="str">
        <f>("")</f>
        <v/>
      </c>
      <c r="AI3" s="2" t="str">
        <f t="shared" si="2"/>
        <v>Beacon</v>
      </c>
      <c r="AJ3" s="2" t="str">
        <f>("Thomas Hollinger")</f>
        <v>Thomas Hollinger</v>
      </c>
      <c r="AK3" s="2" t="str">
        <f t="shared" si="3"/>
        <v xml:space="preserve"> </v>
      </c>
      <c r="AL3" s="2" t="str">
        <f t="shared" si="4"/>
        <v>Beacon Aviation Insurance Services - FL</v>
      </c>
      <c r="AM3" s="2" t="str">
        <f t="shared" si="5"/>
        <v>Deborah Stafford</v>
      </c>
      <c r="AN3" s="2" t="str">
        <f t="shared" si="6"/>
        <v xml:space="preserve"> </v>
      </c>
      <c r="AO3" s="2" t="str">
        <f t="shared" si="7"/>
        <v xml:space="preserve">Beacon Aviation Insurance Services </v>
      </c>
      <c r="AP3" s="2" t="str">
        <f>("Aircraft")</f>
        <v>Aircraft</v>
      </c>
      <c r="AQ3" s="2" t="str">
        <f>("Commercial")</f>
        <v>Commercial</v>
      </c>
      <c r="AR3" s="2" t="str">
        <f>("New Business")</f>
        <v>New Business</v>
      </c>
      <c r="AS3" s="2" t="str">
        <f t="shared" si="8"/>
        <v>New Business</v>
      </c>
      <c r="AT3" s="2"/>
      <c r="AU3" s="2"/>
      <c r="AV3" s="2" t="str">
        <f>("AK")</f>
        <v>AK</v>
      </c>
      <c r="AW3" s="3">
        <v>45048</v>
      </c>
      <c r="AX3" s="3">
        <v>45050</v>
      </c>
      <c r="AY3" s="3">
        <v>45061</v>
      </c>
      <c r="AZ3" s="2" t="b">
        <v>1</v>
      </c>
      <c r="BA3" s="2" t="b">
        <v>0</v>
      </c>
      <c r="BB3" s="2" t="str">
        <f t="shared" si="9"/>
        <v>Brokerage</v>
      </c>
      <c r="BC3" s="2" t="b">
        <v>0</v>
      </c>
      <c r="BD3" s="2" t="str">
        <f t="shared" si="10"/>
        <v>We File</v>
      </c>
      <c r="BE3" s="2" t="str">
        <f>("540 West Madison St")</f>
        <v>540 West Madison St</v>
      </c>
      <c r="BF3" s="2" t="str">
        <f>("60661")</f>
        <v>60661</v>
      </c>
      <c r="BG3" s="4">
        <v>0</v>
      </c>
      <c r="BH3" s="2">
        <v>10</v>
      </c>
      <c r="BI3" s="4">
        <v>0</v>
      </c>
      <c r="BJ3" s="4">
        <v>0</v>
      </c>
      <c r="BK3" s="4">
        <v>0</v>
      </c>
      <c r="BL3" s="4">
        <v>1657.75</v>
      </c>
      <c r="BM3" s="2"/>
      <c r="BN3" s="2" t="str">
        <f t="shared" si="11"/>
        <v>Non Admitted</v>
      </c>
      <c r="BO3" s="2" t="b">
        <v>0</v>
      </c>
      <c r="BP3" s="2" t="b">
        <v>0</v>
      </c>
      <c r="BQ3" s="2"/>
      <c r="BR3" s="2" t="str">
        <f>("Ketchikan")</f>
        <v>Ketchikan</v>
      </c>
      <c r="BS3" s="2" t="str">
        <f>("Active")</f>
        <v>Active</v>
      </c>
      <c r="BT3" s="3">
        <v>45047</v>
      </c>
    </row>
    <row r="4" spans="1:72" x14ac:dyDescent="0.25">
      <c r="A4" s="2" t="str">
        <f>("095989")</f>
        <v>095989</v>
      </c>
      <c r="B4" s="2" t="str">
        <f>("TSBAAG 0000092-00")</f>
        <v>TSBAAG 0000092-00</v>
      </c>
      <c r="C4" s="2" t="str">
        <f>("Venture Travel, LLC")</f>
        <v>Venture Travel, LLC</v>
      </c>
      <c r="D4" s="2" t="str">
        <f>("")</f>
        <v/>
      </c>
      <c r="E4" s="2" t="str">
        <f>("")</f>
        <v/>
      </c>
      <c r="F4" s="2" t="str">
        <f>("")</f>
        <v/>
      </c>
      <c r="G4" s="2" t="b">
        <v>0</v>
      </c>
      <c r="H4" s="2" t="str">
        <f>("INV44067-1")</f>
        <v>INV44067-1</v>
      </c>
      <c r="I4" s="3">
        <v>45047</v>
      </c>
      <c r="J4" s="3">
        <v>45047</v>
      </c>
      <c r="K4" s="3">
        <v>45413</v>
      </c>
      <c r="L4" s="2">
        <v>25</v>
      </c>
      <c r="M4" s="2">
        <v>15</v>
      </c>
      <c r="N4" s="4">
        <v>206.25</v>
      </c>
      <c r="O4" s="4">
        <v>0</v>
      </c>
      <c r="P4" s="4">
        <v>0</v>
      </c>
      <c r="Q4" s="4">
        <v>20.62</v>
      </c>
      <c r="R4" s="2">
        <v>10</v>
      </c>
      <c r="S4" s="4">
        <v>51.56</v>
      </c>
      <c r="T4" s="4">
        <v>30.94</v>
      </c>
      <c r="U4" s="2" t="b">
        <v>0</v>
      </c>
      <c r="V4" s="2">
        <v>100</v>
      </c>
      <c r="W4" s="2" t="str">
        <f>("BEA1085")</f>
        <v>BEA1085</v>
      </c>
      <c r="X4" s="2" t="str">
        <f>("Marsh USA Chicago, Inc., ")</f>
        <v xml:space="preserve">Marsh USA Chicago, Inc., </v>
      </c>
      <c r="Y4" s="2" t="str">
        <f>("IL - Chicago")</f>
        <v>IL - Chicago</v>
      </c>
      <c r="Z4" s="2" t="str">
        <f t="shared" si="0"/>
        <v>Active</v>
      </c>
      <c r="AA4" s="2" t="str">
        <f>("Brendan Patton")</f>
        <v>Brendan Patton</v>
      </c>
      <c r="AB4" s="2" t="str">
        <f>("mrk22")</f>
        <v>mrk22</v>
      </c>
      <c r="AC4" s="2" t="str">
        <f>("Transverse Specialty Insurance Company")</f>
        <v>Transverse Specialty Insurance Company</v>
      </c>
      <c r="AD4" s="2" t="str">
        <f t="shared" si="1"/>
        <v>Active</v>
      </c>
      <c r="AE4" s="2" t="str">
        <f>("rsk58")</f>
        <v>rsk58</v>
      </c>
      <c r="AF4" s="2" t="str">
        <f>("Transverse Specialty Insurance Company")</f>
        <v>Transverse Specialty Insurance Company</v>
      </c>
      <c r="AG4" s="2" t="str">
        <f>("")</f>
        <v/>
      </c>
      <c r="AH4" s="2" t="str">
        <f>("")</f>
        <v/>
      </c>
      <c r="AI4" s="2" t="str">
        <f t="shared" si="2"/>
        <v>Beacon</v>
      </c>
      <c r="AJ4" s="2" t="str">
        <f>("Thomas Hollinger")</f>
        <v>Thomas Hollinger</v>
      </c>
      <c r="AK4" s="2" t="str">
        <f t="shared" si="3"/>
        <v xml:space="preserve"> </v>
      </c>
      <c r="AL4" s="2" t="str">
        <f t="shared" si="4"/>
        <v>Beacon Aviation Insurance Services - FL</v>
      </c>
      <c r="AM4" s="2" t="str">
        <f t="shared" si="5"/>
        <v>Deborah Stafford</v>
      </c>
      <c r="AN4" s="2" t="str">
        <f t="shared" si="6"/>
        <v xml:space="preserve"> </v>
      </c>
      <c r="AO4" s="2" t="str">
        <f t="shared" si="7"/>
        <v xml:space="preserve">Beacon Aviation Insurance Services </v>
      </c>
      <c r="AP4" s="2" t="str">
        <f>("Aviation CGL")</f>
        <v>Aviation CGL</v>
      </c>
      <c r="AQ4" s="2" t="str">
        <f>("Commercial")</f>
        <v>Commercial</v>
      </c>
      <c r="AR4" s="2" t="str">
        <f>("New Business")</f>
        <v>New Business</v>
      </c>
      <c r="AS4" s="2" t="str">
        <f t="shared" si="8"/>
        <v>New Business</v>
      </c>
      <c r="AT4" s="2"/>
      <c r="AU4" s="2"/>
      <c r="AV4" s="2" t="str">
        <f>("AK")</f>
        <v>AK</v>
      </c>
      <c r="AW4" s="3">
        <v>45050</v>
      </c>
      <c r="AX4" s="3">
        <v>45050</v>
      </c>
      <c r="AY4" s="3">
        <v>45061</v>
      </c>
      <c r="AZ4" s="2" t="b">
        <v>1</v>
      </c>
      <c r="BA4" s="2" t="b">
        <v>0</v>
      </c>
      <c r="BB4" s="2" t="str">
        <f t="shared" si="9"/>
        <v>Brokerage</v>
      </c>
      <c r="BC4" s="2" t="b">
        <v>0</v>
      </c>
      <c r="BD4" s="2" t="str">
        <f t="shared" si="10"/>
        <v>We File</v>
      </c>
      <c r="BE4" s="2" t="str">
        <f>("540 West Madison St")</f>
        <v>540 West Madison St</v>
      </c>
      <c r="BF4" s="2" t="str">
        <f>("60661")</f>
        <v>60661</v>
      </c>
      <c r="BG4" s="4">
        <v>0</v>
      </c>
      <c r="BH4" s="2">
        <v>10</v>
      </c>
      <c r="BI4" s="4">
        <v>0</v>
      </c>
      <c r="BJ4" s="4">
        <v>0</v>
      </c>
      <c r="BK4" s="4">
        <v>0</v>
      </c>
      <c r="BL4" s="4">
        <v>20.62</v>
      </c>
      <c r="BM4" s="2"/>
      <c r="BN4" s="2" t="str">
        <f t="shared" si="11"/>
        <v>Non Admitted</v>
      </c>
      <c r="BO4" s="2" t="b">
        <v>0</v>
      </c>
      <c r="BP4" s="2" t="b">
        <v>0</v>
      </c>
      <c r="BQ4" s="2"/>
      <c r="BR4" s="2" t="str">
        <f>("Ketchikan")</f>
        <v>Ketchikan</v>
      </c>
      <c r="BS4" s="2" t="str">
        <f>("Active")</f>
        <v>Active</v>
      </c>
      <c r="BT4" s="3">
        <v>45047</v>
      </c>
    </row>
    <row r="5" spans="1:72" x14ac:dyDescent="0.25">
      <c r="A5" s="2" t="str">
        <f>("096164")</f>
        <v>096164</v>
      </c>
      <c r="B5" s="2" t="str">
        <f>("TSBAAC 0000086-00")</f>
        <v>TSBAAC 0000086-00</v>
      </c>
      <c r="C5" s="2" t="str">
        <f>("Gateway Canyons Air Tours, LLC")</f>
        <v>Gateway Canyons Air Tours, LLC</v>
      </c>
      <c r="D5" s="2" t="str">
        <f>("")</f>
        <v/>
      </c>
      <c r="E5" s="2" t="str">
        <f>("")</f>
        <v/>
      </c>
      <c r="F5" s="2" t="str">
        <f>("")</f>
        <v/>
      </c>
      <c r="G5" s="2" t="b">
        <v>0</v>
      </c>
      <c r="H5" s="2" t="str">
        <f>("INV44232")</f>
        <v>INV44232</v>
      </c>
      <c r="I5" s="3">
        <v>45047</v>
      </c>
      <c r="J5" s="3">
        <v>45042</v>
      </c>
      <c r="K5" s="3">
        <v>45408</v>
      </c>
      <c r="L5" s="2">
        <v>25</v>
      </c>
      <c r="M5" s="2">
        <v>15</v>
      </c>
      <c r="N5" s="4">
        <v>-7500</v>
      </c>
      <c r="O5" s="4">
        <v>0</v>
      </c>
      <c r="P5" s="4">
        <v>0</v>
      </c>
      <c r="Q5" s="4">
        <v>-750</v>
      </c>
      <c r="R5" s="2">
        <v>10</v>
      </c>
      <c r="S5" s="4">
        <v>-1875</v>
      </c>
      <c r="T5" s="4">
        <v>-1125</v>
      </c>
      <c r="U5" s="2" t="b">
        <v>0</v>
      </c>
      <c r="V5" s="2">
        <v>100</v>
      </c>
      <c r="W5" s="2" t="str">
        <f>("BEA1040")</f>
        <v>BEA1040</v>
      </c>
      <c r="X5" s="2" t="str">
        <f>("Marsh &amp; McLennan Agency")</f>
        <v>Marsh &amp; McLennan Agency</v>
      </c>
      <c r="Y5" s="2" t="str">
        <f>("KS - Overland Park")</f>
        <v>KS - Overland Park</v>
      </c>
      <c r="Z5" s="2" t="str">
        <f t="shared" si="0"/>
        <v>Active</v>
      </c>
      <c r="AA5" s="2" t="str">
        <f>("Denise Stevens ")</f>
        <v xml:space="preserve">Denise Stevens </v>
      </c>
      <c r="AB5" s="2" t="str">
        <f>("mrk22")</f>
        <v>mrk22</v>
      </c>
      <c r="AC5" s="2" t="str">
        <f>("Transverse Specialty Insurance Company")</f>
        <v>Transverse Specialty Insurance Company</v>
      </c>
      <c r="AD5" s="2" t="str">
        <f t="shared" si="1"/>
        <v>Active</v>
      </c>
      <c r="AE5" s="2" t="str">
        <f>("rsk58")</f>
        <v>rsk58</v>
      </c>
      <c r="AF5" s="2" t="str">
        <f>("Transverse Specialty Insurance Company")</f>
        <v>Transverse Specialty Insurance Company</v>
      </c>
      <c r="AG5" s="2" t="str">
        <f>("")</f>
        <v/>
      </c>
      <c r="AH5" s="2" t="str">
        <f>("")</f>
        <v/>
      </c>
      <c r="AI5" s="2" t="str">
        <f t="shared" si="2"/>
        <v>Beacon</v>
      </c>
      <c r="AJ5" s="2" t="str">
        <f>("Kate Rouker")</f>
        <v>Kate Rouker</v>
      </c>
      <c r="AK5" s="2" t="str">
        <f t="shared" si="3"/>
        <v xml:space="preserve"> </v>
      </c>
      <c r="AL5" s="2" t="str">
        <f t="shared" si="4"/>
        <v>Beacon Aviation Insurance Services - FL</v>
      </c>
      <c r="AM5" s="2" t="str">
        <f t="shared" si="5"/>
        <v>Deborah Stafford</v>
      </c>
      <c r="AN5" s="2" t="str">
        <f t="shared" si="6"/>
        <v xml:space="preserve"> </v>
      </c>
      <c r="AO5" s="2" t="str">
        <f t="shared" si="7"/>
        <v xml:space="preserve">Beacon Aviation Insurance Services </v>
      </c>
      <c r="AP5" s="2" t="str">
        <f>("Aviation CGL")</f>
        <v>Aviation CGL</v>
      </c>
      <c r="AQ5" s="2" t="str">
        <f>("Commercial")</f>
        <v>Commercial</v>
      </c>
      <c r="AR5" s="2" t="str">
        <f>("Cancellation")</f>
        <v>Cancellation</v>
      </c>
      <c r="AS5" s="2" t="str">
        <f t="shared" si="8"/>
        <v>New Business</v>
      </c>
      <c r="AT5" s="2"/>
      <c r="AU5" s="2"/>
      <c r="AV5" s="2" t="str">
        <f>("CO")</f>
        <v>CO</v>
      </c>
      <c r="AW5" s="3">
        <v>45019</v>
      </c>
      <c r="AX5" s="3">
        <v>45043</v>
      </c>
      <c r="AY5" s="3">
        <v>45042</v>
      </c>
      <c r="AZ5" s="2" t="b">
        <v>0</v>
      </c>
      <c r="BA5" s="2" t="b">
        <v>0</v>
      </c>
      <c r="BB5" s="2" t="str">
        <f t="shared" si="9"/>
        <v>Brokerage</v>
      </c>
      <c r="BC5" s="2" t="b">
        <v>0</v>
      </c>
      <c r="BD5" s="2" t="str">
        <f t="shared" si="10"/>
        <v>We File</v>
      </c>
      <c r="BE5" s="2" t="str">
        <f>("7015 College Blvd")</f>
        <v>7015 College Blvd</v>
      </c>
      <c r="BF5" s="2" t="str">
        <f>("66211")</f>
        <v>66211</v>
      </c>
      <c r="BG5" s="4">
        <v>0</v>
      </c>
      <c r="BH5" s="2">
        <v>10</v>
      </c>
      <c r="BI5" s="4">
        <v>0</v>
      </c>
      <c r="BJ5" s="4">
        <v>0</v>
      </c>
      <c r="BK5" s="4">
        <v>0</v>
      </c>
      <c r="BL5" s="4">
        <v>-750</v>
      </c>
      <c r="BM5" s="2"/>
      <c r="BN5" s="2" t="str">
        <f t="shared" si="11"/>
        <v>Non Admitted</v>
      </c>
      <c r="BO5" s="2" t="b">
        <v>0</v>
      </c>
      <c r="BP5" s="2" t="b">
        <v>0</v>
      </c>
      <c r="BQ5" s="2"/>
      <c r="BR5" s="2" t="str">
        <f>("Gateway")</f>
        <v>Gateway</v>
      </c>
      <c r="BS5" s="2" t="str">
        <f>("Cancelled")</f>
        <v>Cancelled</v>
      </c>
      <c r="BT5" s="3">
        <v>45042</v>
      </c>
    </row>
    <row r="6" spans="1:72" x14ac:dyDescent="0.25">
      <c r="A6" s="2" t="str">
        <f>("096164")</f>
        <v>096164</v>
      </c>
      <c r="B6" s="2" t="str">
        <f>("TSBAAC 0000086-00")</f>
        <v>TSBAAC 0000086-00</v>
      </c>
      <c r="C6" s="2" t="str">
        <f>("Gateway Canyons Air Tours, LLC")</f>
        <v>Gateway Canyons Air Tours, LLC</v>
      </c>
      <c r="D6" s="2" t="str">
        <f>("")</f>
        <v/>
      </c>
      <c r="E6" s="2" t="str">
        <f>("")</f>
        <v/>
      </c>
      <c r="F6" s="2" t="str">
        <f>("")</f>
        <v/>
      </c>
      <c r="G6" s="2" t="b">
        <v>0</v>
      </c>
      <c r="H6" s="2" t="str">
        <f>("INV44234")</f>
        <v>INV44234</v>
      </c>
      <c r="I6" s="3">
        <v>45047</v>
      </c>
      <c r="J6" s="3">
        <v>45042</v>
      </c>
      <c r="K6" s="3">
        <v>45408</v>
      </c>
      <c r="L6" s="2">
        <v>25</v>
      </c>
      <c r="M6" s="2">
        <v>15</v>
      </c>
      <c r="N6" s="4">
        <v>7500</v>
      </c>
      <c r="O6" s="4">
        <v>0</v>
      </c>
      <c r="P6" s="4">
        <v>0</v>
      </c>
      <c r="Q6" s="4">
        <v>750</v>
      </c>
      <c r="R6" s="2">
        <v>10</v>
      </c>
      <c r="S6" s="4">
        <v>1875</v>
      </c>
      <c r="T6" s="4">
        <v>1125</v>
      </c>
      <c r="U6" s="2" t="b">
        <v>0</v>
      </c>
      <c r="V6" s="2">
        <v>100</v>
      </c>
      <c r="W6" s="2" t="str">
        <f>("BEA1040")</f>
        <v>BEA1040</v>
      </c>
      <c r="X6" s="2" t="str">
        <f>("Marsh &amp; McLennan Agency")</f>
        <v>Marsh &amp; McLennan Agency</v>
      </c>
      <c r="Y6" s="2" t="str">
        <f>("KS - Overland Park")</f>
        <v>KS - Overland Park</v>
      </c>
      <c r="Z6" s="2" t="str">
        <f t="shared" si="0"/>
        <v>Active</v>
      </c>
      <c r="AA6" s="2" t="str">
        <f>("Denise Stevens ")</f>
        <v xml:space="preserve">Denise Stevens </v>
      </c>
      <c r="AB6" s="2" t="str">
        <f>("mrk22")</f>
        <v>mrk22</v>
      </c>
      <c r="AC6" s="2" t="str">
        <f>("Transverse Specialty Insurance Company")</f>
        <v>Transverse Specialty Insurance Company</v>
      </c>
      <c r="AD6" s="2" t="str">
        <f t="shared" si="1"/>
        <v>Active</v>
      </c>
      <c r="AE6" s="2" t="str">
        <f>("rsk58")</f>
        <v>rsk58</v>
      </c>
      <c r="AF6" s="2" t="str">
        <f>("Transverse Specialty Insurance Company")</f>
        <v>Transverse Specialty Insurance Company</v>
      </c>
      <c r="AG6" s="2" t="str">
        <f>("")</f>
        <v/>
      </c>
      <c r="AH6" s="2" t="str">
        <f>("")</f>
        <v/>
      </c>
      <c r="AI6" s="2" t="str">
        <f t="shared" si="2"/>
        <v>Beacon</v>
      </c>
      <c r="AJ6" s="2" t="str">
        <f>("Kate Rouker")</f>
        <v>Kate Rouker</v>
      </c>
      <c r="AK6" s="2" t="str">
        <f t="shared" si="3"/>
        <v xml:space="preserve"> </v>
      </c>
      <c r="AL6" s="2" t="str">
        <f t="shared" si="4"/>
        <v>Beacon Aviation Insurance Services - FL</v>
      </c>
      <c r="AM6" s="2" t="str">
        <f t="shared" si="5"/>
        <v>Deborah Stafford</v>
      </c>
      <c r="AN6" s="2" t="str">
        <f t="shared" si="6"/>
        <v xml:space="preserve"> </v>
      </c>
      <c r="AO6" s="2" t="str">
        <f t="shared" si="7"/>
        <v xml:space="preserve">Beacon Aviation Insurance Services </v>
      </c>
      <c r="AP6" s="2" t="str">
        <f t="shared" ref="AP6:AP46" si="12">("Aircraft")</f>
        <v>Aircraft</v>
      </c>
      <c r="AQ6" s="2" t="str">
        <f>("Commercial")</f>
        <v>Commercial</v>
      </c>
      <c r="AR6" s="2" t="str">
        <f>("New Business")</f>
        <v>New Business</v>
      </c>
      <c r="AS6" s="2" t="str">
        <f t="shared" si="8"/>
        <v>New Business</v>
      </c>
      <c r="AT6" s="2"/>
      <c r="AU6" s="2"/>
      <c r="AV6" s="2" t="str">
        <f>("CO")</f>
        <v>CO</v>
      </c>
      <c r="AW6" s="3">
        <v>45062</v>
      </c>
      <c r="AX6" s="3">
        <v>45062</v>
      </c>
      <c r="AY6" s="3">
        <v>45042</v>
      </c>
      <c r="AZ6" s="2" t="b">
        <v>0</v>
      </c>
      <c r="BA6" s="2" t="b">
        <v>0</v>
      </c>
      <c r="BB6" s="2" t="str">
        <f t="shared" si="9"/>
        <v>Brokerage</v>
      </c>
      <c r="BC6" s="2" t="b">
        <v>0</v>
      </c>
      <c r="BD6" s="2" t="str">
        <f t="shared" si="10"/>
        <v>We File</v>
      </c>
      <c r="BE6" s="2" t="str">
        <f>("7015 College Blvd")</f>
        <v>7015 College Blvd</v>
      </c>
      <c r="BF6" s="2" t="str">
        <f>("66211")</f>
        <v>66211</v>
      </c>
      <c r="BG6" s="4">
        <v>0</v>
      </c>
      <c r="BH6" s="2">
        <v>10</v>
      </c>
      <c r="BI6" s="4">
        <v>0</v>
      </c>
      <c r="BJ6" s="4">
        <v>0</v>
      </c>
      <c r="BK6" s="4">
        <v>0</v>
      </c>
      <c r="BL6" s="4">
        <v>750</v>
      </c>
      <c r="BM6" s="2"/>
      <c r="BN6" s="2" t="str">
        <f t="shared" si="11"/>
        <v>Non Admitted</v>
      </c>
      <c r="BO6" s="2" t="b">
        <v>0</v>
      </c>
      <c r="BP6" s="2" t="b">
        <v>0</v>
      </c>
      <c r="BQ6" s="2"/>
      <c r="BR6" s="2" t="str">
        <f>("Gateway")</f>
        <v>Gateway</v>
      </c>
      <c r="BS6" s="2" t="str">
        <f>("Active")</f>
        <v>Active</v>
      </c>
      <c r="BT6" s="3">
        <v>45042</v>
      </c>
    </row>
    <row r="7" spans="1:72" x14ac:dyDescent="0.25">
      <c r="A7" s="2" t="str">
        <f>("086518")</f>
        <v>086518</v>
      </c>
      <c r="B7" s="2" t="str">
        <f>("TIBAAN 0000037-00")</f>
        <v>TIBAAN 0000037-00</v>
      </c>
      <c r="C7" s="2" t="str">
        <f>("Shoreline Aviation LLC")</f>
        <v>Shoreline Aviation LLC</v>
      </c>
      <c r="D7" s="2" t="str">
        <f>("")</f>
        <v/>
      </c>
      <c r="E7" s="2" t="str">
        <f>("")</f>
        <v/>
      </c>
      <c r="F7" s="2" t="str">
        <f>("")</f>
        <v/>
      </c>
      <c r="G7" s="2" t="b">
        <v>0</v>
      </c>
      <c r="H7" s="2" t="str">
        <f>("INV44729")</f>
        <v>INV44729</v>
      </c>
      <c r="I7" s="3">
        <v>45047</v>
      </c>
      <c r="J7" s="3">
        <v>44924</v>
      </c>
      <c r="K7" s="3">
        <v>45289</v>
      </c>
      <c r="L7" s="2">
        <v>25</v>
      </c>
      <c r="M7" s="2">
        <v>15</v>
      </c>
      <c r="N7" s="4">
        <v>97864</v>
      </c>
      <c r="O7" s="4">
        <v>0</v>
      </c>
      <c r="P7" s="4">
        <v>0</v>
      </c>
      <c r="Q7" s="4">
        <v>9786.4</v>
      </c>
      <c r="R7" s="2">
        <v>10</v>
      </c>
      <c r="S7" s="4">
        <v>24466</v>
      </c>
      <c r="T7" s="4">
        <v>14679.6</v>
      </c>
      <c r="U7" s="2" t="b">
        <v>0</v>
      </c>
      <c r="V7" s="2">
        <v>100</v>
      </c>
      <c r="W7" s="2" t="str">
        <f>("BEA1131")</f>
        <v>BEA1131</v>
      </c>
      <c r="X7" s="2" t="str">
        <f>("Travers &amp; Associates")</f>
        <v>Travers &amp; Associates</v>
      </c>
      <c r="Y7" s="2" t="str">
        <f>("MO - Saint Louis")</f>
        <v>MO - Saint Louis</v>
      </c>
      <c r="Z7" s="2" t="str">
        <f t="shared" si="0"/>
        <v>Active</v>
      </c>
      <c r="AA7" s="2" t="str">
        <f>("Madison Clipp")</f>
        <v>Madison Clipp</v>
      </c>
      <c r="AB7" s="2" t="str">
        <f t="shared" ref="AB7:AB18" si="13">("mrk21")</f>
        <v>mrk21</v>
      </c>
      <c r="AC7" s="2" t="str">
        <f t="shared" ref="AC7:AC18" si="14">("Transverse Insurance Company")</f>
        <v>Transverse Insurance Company</v>
      </c>
      <c r="AD7" s="2" t="str">
        <f t="shared" si="1"/>
        <v>Active</v>
      </c>
      <c r="AE7" s="2" t="str">
        <f t="shared" ref="AE7:AE18" si="15">("rsk57")</f>
        <v>rsk57</v>
      </c>
      <c r="AF7" s="2" t="str">
        <f t="shared" ref="AF7:AF18" si="16">("Transverse Insurance Company")</f>
        <v>Transverse Insurance Company</v>
      </c>
      <c r="AG7" s="2" t="str">
        <f>("")</f>
        <v/>
      </c>
      <c r="AH7" s="2" t="str">
        <f>("")</f>
        <v/>
      </c>
      <c r="AI7" s="2" t="str">
        <f t="shared" si="2"/>
        <v>Beacon</v>
      </c>
      <c r="AJ7" s="2" t="str">
        <f>("Nick Umali")</f>
        <v>Nick Umali</v>
      </c>
      <c r="AK7" s="2" t="str">
        <f t="shared" si="3"/>
        <v xml:space="preserve"> </v>
      </c>
      <c r="AL7" s="2" t="str">
        <f t="shared" si="4"/>
        <v>Beacon Aviation Insurance Services - FL</v>
      </c>
      <c r="AM7" s="2" t="str">
        <f t="shared" si="5"/>
        <v>Deborah Stafford</v>
      </c>
      <c r="AN7" s="2" t="str">
        <f t="shared" si="6"/>
        <v xml:space="preserve"> </v>
      </c>
      <c r="AO7" s="2" t="str">
        <f t="shared" si="7"/>
        <v xml:space="preserve">Beacon Aviation Insurance Services </v>
      </c>
      <c r="AP7" s="2" t="str">
        <f t="shared" si="12"/>
        <v>Aircraft</v>
      </c>
      <c r="AQ7" s="2" t="str">
        <f t="shared" ref="AQ7:AQ18" si="17">("Non-Commercial")</f>
        <v>Non-Commercial</v>
      </c>
      <c r="AR7" s="2" t="str">
        <f>("New Business")</f>
        <v>New Business</v>
      </c>
      <c r="AS7" s="2" t="str">
        <f t="shared" si="8"/>
        <v>New Business</v>
      </c>
      <c r="AT7" s="2"/>
      <c r="AU7" s="2"/>
      <c r="AV7" s="2" t="str">
        <f>("UT")</f>
        <v>UT</v>
      </c>
      <c r="AW7" s="3">
        <v>45064</v>
      </c>
      <c r="AX7" s="3">
        <v>45064</v>
      </c>
      <c r="AY7" s="3">
        <v>44924</v>
      </c>
      <c r="AZ7" s="2" t="b">
        <v>0</v>
      </c>
      <c r="BA7" s="2" t="b">
        <v>0</v>
      </c>
      <c r="BB7" s="2" t="str">
        <f t="shared" si="9"/>
        <v>Brokerage</v>
      </c>
      <c r="BC7" s="2" t="b">
        <v>0</v>
      </c>
      <c r="BD7" s="2" t="str">
        <f t="shared" si="10"/>
        <v>We File</v>
      </c>
      <c r="BE7" s="2" t="str">
        <f>("PO Box 220519")</f>
        <v>PO Box 220519</v>
      </c>
      <c r="BF7" s="2" t="str">
        <f>("63122")</f>
        <v>63122</v>
      </c>
      <c r="BG7" s="4">
        <v>0</v>
      </c>
      <c r="BH7" s="2">
        <v>10</v>
      </c>
      <c r="BI7" s="4">
        <v>0</v>
      </c>
      <c r="BJ7" s="4">
        <v>0</v>
      </c>
      <c r="BK7" s="4">
        <v>0</v>
      </c>
      <c r="BL7" s="4">
        <v>9786.4</v>
      </c>
      <c r="BM7" s="2"/>
      <c r="BN7" s="2" t="str">
        <f t="shared" si="11"/>
        <v>Non Admitted</v>
      </c>
      <c r="BO7" s="2" t="b">
        <v>0</v>
      </c>
      <c r="BP7" s="2" t="b">
        <v>0</v>
      </c>
      <c r="BQ7" s="2"/>
      <c r="BR7" s="2" t="str">
        <f>("Sandy")</f>
        <v>Sandy</v>
      </c>
      <c r="BS7" s="2" t="str">
        <f>("Active")</f>
        <v>Active</v>
      </c>
      <c r="BT7" s="3">
        <v>44924</v>
      </c>
    </row>
    <row r="8" spans="1:72" x14ac:dyDescent="0.25">
      <c r="A8" s="2" t="str">
        <f>("086518")</f>
        <v>086518</v>
      </c>
      <c r="B8" s="2" t="str">
        <f>("TIBAAN 0000037-00")</f>
        <v>TIBAAN 0000037-00</v>
      </c>
      <c r="C8" s="2" t="str">
        <f>("Shoreline Aviation LLC")</f>
        <v>Shoreline Aviation LLC</v>
      </c>
      <c r="D8" s="2" t="str">
        <f>("")</f>
        <v/>
      </c>
      <c r="E8" s="2" t="str">
        <f>("")</f>
        <v/>
      </c>
      <c r="F8" s="2" t="str">
        <f>("Endorsement")</f>
        <v>Endorsement</v>
      </c>
      <c r="G8" s="2" t="b">
        <v>0</v>
      </c>
      <c r="H8" s="2" t="str">
        <f>("INV44731")</f>
        <v>INV44731</v>
      </c>
      <c r="I8" s="3">
        <v>45047</v>
      </c>
      <c r="J8" s="3">
        <v>44924</v>
      </c>
      <c r="K8" s="3">
        <v>45289</v>
      </c>
      <c r="L8" s="2">
        <v>25</v>
      </c>
      <c r="M8" s="2">
        <v>15</v>
      </c>
      <c r="N8" s="4">
        <v>8945.1</v>
      </c>
      <c r="O8" s="4">
        <v>0</v>
      </c>
      <c r="P8" s="4">
        <v>0</v>
      </c>
      <c r="Q8" s="4">
        <v>894.51</v>
      </c>
      <c r="R8" s="2">
        <v>10</v>
      </c>
      <c r="S8" s="4">
        <v>2236.2800000000002</v>
      </c>
      <c r="T8" s="4">
        <v>1341.77</v>
      </c>
      <c r="U8" s="2" t="b">
        <v>0</v>
      </c>
      <c r="V8" s="2">
        <v>100</v>
      </c>
      <c r="W8" s="2" t="str">
        <f>("BEA1131")</f>
        <v>BEA1131</v>
      </c>
      <c r="X8" s="2" t="str">
        <f>("Travers &amp; Associates")</f>
        <v>Travers &amp; Associates</v>
      </c>
      <c r="Y8" s="2" t="str">
        <f>("MO - Saint Louis")</f>
        <v>MO - Saint Louis</v>
      </c>
      <c r="Z8" s="2" t="str">
        <f t="shared" si="0"/>
        <v>Active</v>
      </c>
      <c r="AA8" s="2" t="str">
        <f>("Madison Clipp")</f>
        <v>Madison Clipp</v>
      </c>
      <c r="AB8" s="2" t="str">
        <f t="shared" si="13"/>
        <v>mrk21</v>
      </c>
      <c r="AC8" s="2" t="str">
        <f t="shared" si="14"/>
        <v>Transverse Insurance Company</v>
      </c>
      <c r="AD8" s="2" t="str">
        <f t="shared" si="1"/>
        <v>Active</v>
      </c>
      <c r="AE8" s="2" t="str">
        <f t="shared" si="15"/>
        <v>rsk57</v>
      </c>
      <c r="AF8" s="2" t="str">
        <f t="shared" si="16"/>
        <v>Transverse Insurance Company</v>
      </c>
      <c r="AG8" s="2" t="str">
        <f>("")</f>
        <v/>
      </c>
      <c r="AH8" s="2" t="str">
        <f>("")</f>
        <v/>
      </c>
      <c r="AI8" s="2" t="str">
        <f t="shared" si="2"/>
        <v>Beacon</v>
      </c>
      <c r="AJ8" s="2" t="str">
        <f>("Nick Umali")</f>
        <v>Nick Umali</v>
      </c>
      <c r="AK8" s="2" t="str">
        <f t="shared" si="3"/>
        <v xml:space="preserve"> </v>
      </c>
      <c r="AL8" s="2" t="str">
        <f t="shared" si="4"/>
        <v>Beacon Aviation Insurance Services - FL</v>
      </c>
      <c r="AM8" s="2" t="str">
        <f t="shared" si="5"/>
        <v>Deborah Stafford</v>
      </c>
      <c r="AN8" s="2" t="str">
        <f t="shared" si="6"/>
        <v xml:space="preserve"> </v>
      </c>
      <c r="AO8" s="2" t="str">
        <f t="shared" si="7"/>
        <v xml:space="preserve">Beacon Aviation Insurance Services </v>
      </c>
      <c r="AP8" s="2" t="str">
        <f t="shared" si="12"/>
        <v>Aircraft</v>
      </c>
      <c r="AQ8" s="2" t="str">
        <f t="shared" si="17"/>
        <v>Non-Commercial</v>
      </c>
      <c r="AR8" s="2" t="str">
        <f>("Endorsement")</f>
        <v>Endorsement</v>
      </c>
      <c r="AS8" s="2" t="str">
        <f t="shared" si="8"/>
        <v>New Business</v>
      </c>
      <c r="AT8" s="2"/>
      <c r="AU8" s="2"/>
      <c r="AV8" s="2" t="str">
        <f>("UT")</f>
        <v>UT</v>
      </c>
      <c r="AW8" s="3">
        <v>45064</v>
      </c>
      <c r="AX8" s="3">
        <v>45064</v>
      </c>
      <c r="AY8" s="3">
        <v>44932</v>
      </c>
      <c r="AZ8" s="2" t="b">
        <v>0</v>
      </c>
      <c r="BA8" s="2" t="b">
        <v>0</v>
      </c>
      <c r="BB8" s="2" t="str">
        <f t="shared" si="9"/>
        <v>Brokerage</v>
      </c>
      <c r="BC8" s="2" t="b">
        <v>0</v>
      </c>
      <c r="BD8" s="2" t="str">
        <f t="shared" si="10"/>
        <v>We File</v>
      </c>
      <c r="BE8" s="2" t="str">
        <f>("PO Box 220519")</f>
        <v>PO Box 220519</v>
      </c>
      <c r="BF8" s="2" t="str">
        <f>("63122")</f>
        <v>63122</v>
      </c>
      <c r="BG8" s="4">
        <v>0</v>
      </c>
      <c r="BH8" s="2">
        <v>10</v>
      </c>
      <c r="BI8" s="4">
        <v>0</v>
      </c>
      <c r="BJ8" s="4">
        <v>0</v>
      </c>
      <c r="BK8" s="4">
        <v>0</v>
      </c>
      <c r="BL8" s="4">
        <v>894.51</v>
      </c>
      <c r="BM8" s="2"/>
      <c r="BN8" s="2" t="str">
        <f t="shared" si="11"/>
        <v>Non Admitted</v>
      </c>
      <c r="BO8" s="2" t="b">
        <v>0</v>
      </c>
      <c r="BP8" s="2" t="b">
        <v>0</v>
      </c>
      <c r="BQ8" s="2"/>
      <c r="BR8" s="2" t="str">
        <f>("Sandy")</f>
        <v>Sandy</v>
      </c>
      <c r="BS8" s="2" t="str">
        <f>("Active")</f>
        <v>Active</v>
      </c>
      <c r="BT8" s="3">
        <v>44932</v>
      </c>
    </row>
    <row r="9" spans="1:72" x14ac:dyDescent="0.25">
      <c r="A9" s="2" t="str">
        <f>("086518")</f>
        <v>086518</v>
      </c>
      <c r="B9" s="2" t="str">
        <f>("TIBAAN 0000037-00")</f>
        <v>TIBAAN 0000037-00</v>
      </c>
      <c r="C9" s="2" t="str">
        <f>("Shoreline Aviation LLC")</f>
        <v>Shoreline Aviation LLC</v>
      </c>
      <c r="D9" s="2" t="str">
        <f>("")</f>
        <v/>
      </c>
      <c r="E9" s="2" t="str">
        <f>("")</f>
        <v/>
      </c>
      <c r="F9" s="2" t="str">
        <f>("")</f>
        <v/>
      </c>
      <c r="G9" s="2" t="b">
        <v>0</v>
      </c>
      <c r="H9" s="2" t="str">
        <f>("INV44735")</f>
        <v>INV44735</v>
      </c>
      <c r="I9" s="3">
        <v>45047</v>
      </c>
      <c r="J9" s="3">
        <v>44925</v>
      </c>
      <c r="K9" s="3">
        <v>45290</v>
      </c>
      <c r="L9" s="2">
        <v>25</v>
      </c>
      <c r="M9" s="2">
        <v>15</v>
      </c>
      <c r="N9" s="4">
        <v>-106984</v>
      </c>
      <c r="O9" s="4">
        <v>0</v>
      </c>
      <c r="P9" s="4">
        <v>0</v>
      </c>
      <c r="Q9" s="4">
        <v>-10698.4</v>
      </c>
      <c r="R9" s="2">
        <v>10</v>
      </c>
      <c r="S9" s="4">
        <v>-26746</v>
      </c>
      <c r="T9" s="4">
        <v>-16047.6</v>
      </c>
      <c r="U9" s="2" t="b">
        <v>0</v>
      </c>
      <c r="V9" s="2">
        <v>100</v>
      </c>
      <c r="W9" s="2" t="str">
        <f>("BEA1131")</f>
        <v>BEA1131</v>
      </c>
      <c r="X9" s="2" t="str">
        <f>("Travers &amp; Associates")</f>
        <v>Travers &amp; Associates</v>
      </c>
      <c r="Y9" s="2" t="str">
        <f>("MO - Saint Louis")</f>
        <v>MO - Saint Louis</v>
      </c>
      <c r="Z9" s="2" t="str">
        <f t="shared" si="0"/>
        <v>Active</v>
      </c>
      <c r="AA9" s="2" t="str">
        <f>("Madison Clipp")</f>
        <v>Madison Clipp</v>
      </c>
      <c r="AB9" s="2" t="str">
        <f t="shared" si="13"/>
        <v>mrk21</v>
      </c>
      <c r="AC9" s="2" t="str">
        <f t="shared" si="14"/>
        <v>Transverse Insurance Company</v>
      </c>
      <c r="AD9" s="2" t="str">
        <f t="shared" si="1"/>
        <v>Active</v>
      </c>
      <c r="AE9" s="2" t="str">
        <f t="shared" si="15"/>
        <v>rsk57</v>
      </c>
      <c r="AF9" s="2" t="str">
        <f t="shared" si="16"/>
        <v>Transverse Insurance Company</v>
      </c>
      <c r="AG9" s="2" t="str">
        <f>("")</f>
        <v/>
      </c>
      <c r="AH9" s="2" t="str">
        <f>("")</f>
        <v/>
      </c>
      <c r="AI9" s="2" t="str">
        <f t="shared" si="2"/>
        <v>Beacon</v>
      </c>
      <c r="AJ9" s="2" t="str">
        <f>("Thomas Hollinger")</f>
        <v>Thomas Hollinger</v>
      </c>
      <c r="AK9" s="2" t="str">
        <f t="shared" si="3"/>
        <v xml:space="preserve"> </v>
      </c>
      <c r="AL9" s="2" t="str">
        <f t="shared" si="4"/>
        <v>Beacon Aviation Insurance Services - FL</v>
      </c>
      <c r="AM9" s="2" t="str">
        <f t="shared" si="5"/>
        <v>Deborah Stafford</v>
      </c>
      <c r="AN9" s="2" t="str">
        <f t="shared" si="6"/>
        <v xml:space="preserve"> </v>
      </c>
      <c r="AO9" s="2" t="str">
        <f t="shared" si="7"/>
        <v xml:space="preserve">Beacon Aviation Insurance Services </v>
      </c>
      <c r="AP9" s="2" t="str">
        <f t="shared" si="12"/>
        <v>Aircraft</v>
      </c>
      <c r="AQ9" s="2" t="str">
        <f t="shared" si="17"/>
        <v>Non-Commercial</v>
      </c>
      <c r="AR9" s="2" t="str">
        <f>("Cancellation")</f>
        <v>Cancellation</v>
      </c>
      <c r="AS9" s="2" t="str">
        <f t="shared" si="8"/>
        <v>New Business</v>
      </c>
      <c r="AT9" s="2"/>
      <c r="AU9" s="2"/>
      <c r="AV9" s="2" t="str">
        <f>("UT")</f>
        <v>UT</v>
      </c>
      <c r="AW9" s="3">
        <v>44925</v>
      </c>
      <c r="AX9" s="3">
        <v>44929</v>
      </c>
      <c r="AY9" s="3">
        <v>45064</v>
      </c>
      <c r="AZ9" s="2" t="b">
        <v>0</v>
      </c>
      <c r="BA9" s="2" t="b">
        <v>0</v>
      </c>
      <c r="BB9" s="2" t="str">
        <f t="shared" si="9"/>
        <v>Brokerage</v>
      </c>
      <c r="BC9" s="2" t="b">
        <v>0</v>
      </c>
      <c r="BD9" s="2" t="str">
        <f t="shared" si="10"/>
        <v>We File</v>
      </c>
      <c r="BE9" s="2" t="str">
        <f>("PO Box 220519")</f>
        <v>PO Box 220519</v>
      </c>
      <c r="BF9" s="2" t="str">
        <f>("63122")</f>
        <v>63122</v>
      </c>
      <c r="BG9" s="4">
        <v>0</v>
      </c>
      <c r="BH9" s="2">
        <v>10</v>
      </c>
      <c r="BI9" s="4">
        <v>0</v>
      </c>
      <c r="BJ9" s="4">
        <v>0</v>
      </c>
      <c r="BK9" s="4">
        <v>0</v>
      </c>
      <c r="BL9" s="4">
        <v>-10698.4</v>
      </c>
      <c r="BM9" s="2"/>
      <c r="BN9" s="2" t="str">
        <f t="shared" si="11"/>
        <v>Non Admitted</v>
      </c>
      <c r="BO9" s="2" t="b">
        <v>0</v>
      </c>
      <c r="BP9" s="2" t="b">
        <v>0</v>
      </c>
      <c r="BQ9" s="2"/>
      <c r="BR9" s="2" t="str">
        <f>("Sandy")</f>
        <v>Sandy</v>
      </c>
      <c r="BS9" s="2" t="str">
        <f>("Cancelled")</f>
        <v>Cancelled</v>
      </c>
      <c r="BT9" s="3">
        <v>44925</v>
      </c>
    </row>
    <row r="10" spans="1:72" x14ac:dyDescent="0.25">
      <c r="A10" s="2" t="str">
        <f>("093845")</f>
        <v>093845</v>
      </c>
      <c r="B10" s="2" t="str">
        <f>("TIBAAN 0000067-00")</f>
        <v>TIBAAN 0000067-00</v>
      </c>
      <c r="C10" s="2" t="str">
        <f>("ZMN Enterprises, LLC and Centurion Holdings, LLC")</f>
        <v>ZMN Enterprises, LLC and Centurion Holdings, LLC</v>
      </c>
      <c r="D10" s="2" t="str">
        <f>("")</f>
        <v/>
      </c>
      <c r="E10" s="2" t="str">
        <f>("")</f>
        <v/>
      </c>
      <c r="F10" s="2" t="str">
        <f>("Endorsement")</f>
        <v>Endorsement</v>
      </c>
      <c r="G10" s="2" t="b">
        <v>0</v>
      </c>
      <c r="H10" s="2" t="str">
        <f>("INV47069")</f>
        <v>INV47069</v>
      </c>
      <c r="I10" s="3">
        <v>45047</v>
      </c>
      <c r="J10" s="3">
        <v>45034</v>
      </c>
      <c r="K10" s="3">
        <v>45400</v>
      </c>
      <c r="L10" s="2">
        <v>25</v>
      </c>
      <c r="M10" s="2">
        <v>15</v>
      </c>
      <c r="N10" s="4">
        <v>250</v>
      </c>
      <c r="O10" s="4">
        <v>0</v>
      </c>
      <c r="P10" s="4">
        <v>0</v>
      </c>
      <c r="Q10" s="4">
        <v>25</v>
      </c>
      <c r="R10" s="2">
        <v>10</v>
      </c>
      <c r="S10" s="4">
        <v>62.5</v>
      </c>
      <c r="T10" s="4">
        <v>37.5</v>
      </c>
      <c r="U10" s="2" t="b">
        <v>0</v>
      </c>
      <c r="V10" s="2">
        <v>100</v>
      </c>
      <c r="W10" s="2" t="str">
        <f>("BEA1166")</f>
        <v>BEA1166</v>
      </c>
      <c r="X10" s="2" t="str">
        <f>("Wings Insurance ")</f>
        <v xml:space="preserve">Wings Insurance </v>
      </c>
      <c r="Y10" s="2" t="str">
        <f>("MN - Eden Prairie")</f>
        <v>MN - Eden Prairie</v>
      </c>
      <c r="Z10" s="2" t="str">
        <f t="shared" si="0"/>
        <v>Active</v>
      </c>
      <c r="AA10" s="2" t="str">
        <f>("Zena Dukes")</f>
        <v>Zena Dukes</v>
      </c>
      <c r="AB10" s="2" t="str">
        <f t="shared" si="13"/>
        <v>mrk21</v>
      </c>
      <c r="AC10" s="2" t="str">
        <f t="shared" si="14"/>
        <v>Transverse Insurance Company</v>
      </c>
      <c r="AD10" s="2" t="str">
        <f t="shared" si="1"/>
        <v>Active</v>
      </c>
      <c r="AE10" s="2" t="str">
        <f t="shared" si="15"/>
        <v>rsk57</v>
      </c>
      <c r="AF10" s="2" t="str">
        <f t="shared" si="16"/>
        <v>Transverse Insurance Company</v>
      </c>
      <c r="AG10" s="2" t="str">
        <f>("")</f>
        <v/>
      </c>
      <c r="AH10" s="2" t="str">
        <f>("")</f>
        <v/>
      </c>
      <c r="AI10" s="2" t="str">
        <f t="shared" si="2"/>
        <v>Beacon</v>
      </c>
      <c r="AJ10" s="2" t="str">
        <f>("Beacon GA UW")</f>
        <v>Beacon GA UW</v>
      </c>
      <c r="AK10" s="2" t="str">
        <f t="shared" si="3"/>
        <v xml:space="preserve"> </v>
      </c>
      <c r="AL10" s="2" t="str">
        <f t="shared" si="4"/>
        <v>Beacon Aviation Insurance Services - FL</v>
      </c>
      <c r="AM10" s="2" t="str">
        <f t="shared" si="5"/>
        <v>Deborah Stafford</v>
      </c>
      <c r="AN10" s="2" t="str">
        <f t="shared" si="6"/>
        <v xml:space="preserve"> </v>
      </c>
      <c r="AO10" s="2" t="str">
        <f t="shared" si="7"/>
        <v xml:space="preserve">Beacon Aviation Insurance Services </v>
      </c>
      <c r="AP10" s="2" t="str">
        <f t="shared" si="12"/>
        <v>Aircraft</v>
      </c>
      <c r="AQ10" s="2" t="str">
        <f t="shared" si="17"/>
        <v>Non-Commercial</v>
      </c>
      <c r="AR10" s="2" t="str">
        <f>("Endorsement")</f>
        <v>Endorsement</v>
      </c>
      <c r="AS10" s="2" t="str">
        <f t="shared" si="8"/>
        <v>New Business</v>
      </c>
      <c r="AT10" s="2"/>
      <c r="AU10" s="2"/>
      <c r="AV10" s="2" t="str">
        <f>("MT")</f>
        <v>MT</v>
      </c>
      <c r="AW10" s="3">
        <v>44999</v>
      </c>
      <c r="AX10" s="3">
        <v>45007</v>
      </c>
      <c r="AY10" s="3">
        <v>45079</v>
      </c>
      <c r="AZ10" s="2" t="b">
        <v>0</v>
      </c>
      <c r="BA10" s="2" t="b">
        <v>0</v>
      </c>
      <c r="BB10" s="2" t="str">
        <f t="shared" si="9"/>
        <v>Brokerage</v>
      </c>
      <c r="BC10" s="2" t="b">
        <v>0</v>
      </c>
      <c r="BD10" s="2" t="str">
        <f t="shared" si="10"/>
        <v>We File</v>
      </c>
      <c r="BE10" s="2" t="str">
        <f>("14871 Pioneer Trail")</f>
        <v>14871 Pioneer Trail</v>
      </c>
      <c r="BF10" s="2" t="str">
        <f>("55347")</f>
        <v>55347</v>
      </c>
      <c r="BG10" s="4">
        <v>0</v>
      </c>
      <c r="BH10" s="2">
        <v>10</v>
      </c>
      <c r="BI10" s="4">
        <v>0</v>
      </c>
      <c r="BJ10" s="4">
        <v>0</v>
      </c>
      <c r="BK10" s="4">
        <v>0</v>
      </c>
      <c r="BL10" s="4">
        <v>25</v>
      </c>
      <c r="BM10" s="2"/>
      <c r="BN10" s="2" t="str">
        <f t="shared" si="11"/>
        <v>Non Admitted</v>
      </c>
      <c r="BO10" s="2" t="b">
        <v>0</v>
      </c>
      <c r="BP10" s="2" t="b">
        <v>0</v>
      </c>
      <c r="BQ10" s="2"/>
      <c r="BR10" s="2" t="str">
        <f>("Kila")</f>
        <v>Kila</v>
      </c>
      <c r="BS10" s="2" t="str">
        <f t="shared" ref="BS10:BS27" si="18">("Active")</f>
        <v>Active</v>
      </c>
      <c r="BT10" s="3">
        <v>45034</v>
      </c>
    </row>
    <row r="11" spans="1:72" x14ac:dyDescent="0.25">
      <c r="A11" s="2" t="str">
        <f>("090589")</f>
        <v>090589</v>
      </c>
      <c r="B11" s="2" t="str">
        <f>("TIBAAN 0000080-00")</f>
        <v>TIBAAN 0000080-00</v>
      </c>
      <c r="C11" s="2" t="str">
        <f>("Pollard Aircraft Sales Inc; Pollard Spares LLC; et al")</f>
        <v>Pollard Aircraft Sales Inc; Pollard Spares LLC; et al</v>
      </c>
      <c r="D11" s="2" t="str">
        <f>("")</f>
        <v/>
      </c>
      <c r="E11" s="2" t="str">
        <f>("")</f>
        <v/>
      </c>
      <c r="F11" s="2" t="str">
        <f>("Endorsement")</f>
        <v>Endorsement</v>
      </c>
      <c r="G11" s="2" t="b">
        <v>0</v>
      </c>
      <c r="H11" s="2" t="str">
        <f>("INV47292")</f>
        <v>INV47292</v>
      </c>
      <c r="I11" s="3">
        <v>45047</v>
      </c>
      <c r="J11" s="3">
        <v>45016</v>
      </c>
      <c r="K11" s="3">
        <v>45382</v>
      </c>
      <c r="L11" s="2">
        <v>25</v>
      </c>
      <c r="M11" s="2">
        <v>15</v>
      </c>
      <c r="N11" s="4">
        <v>-6282</v>
      </c>
      <c r="O11" s="4">
        <v>0</v>
      </c>
      <c r="P11" s="4">
        <v>0</v>
      </c>
      <c r="Q11" s="4">
        <v>-628.20000000000005</v>
      </c>
      <c r="R11" s="2">
        <v>10</v>
      </c>
      <c r="S11" s="4">
        <v>-1570.5</v>
      </c>
      <c r="T11" s="4">
        <v>-942.3</v>
      </c>
      <c r="U11" s="2" t="b">
        <v>0</v>
      </c>
      <c r="V11" s="2">
        <v>100</v>
      </c>
      <c r="W11" s="2" t="str">
        <f>("BEA1035")</f>
        <v>BEA1035</v>
      </c>
      <c r="X11" s="2" t="str">
        <f>("Halton Hall &amp; Associates, Inc.")</f>
        <v>Halton Hall &amp; Associates, Inc.</v>
      </c>
      <c r="Y11" s="2" t="str">
        <f>("TX - Roanoke")</f>
        <v>TX - Roanoke</v>
      </c>
      <c r="Z11" s="2" t="str">
        <f t="shared" si="0"/>
        <v>Active</v>
      </c>
      <c r="AA11" s="2" t="str">
        <f>("Jason L. Riley")</f>
        <v>Jason L. Riley</v>
      </c>
      <c r="AB11" s="2" t="str">
        <f t="shared" si="13"/>
        <v>mrk21</v>
      </c>
      <c r="AC11" s="2" t="str">
        <f t="shared" si="14"/>
        <v>Transverse Insurance Company</v>
      </c>
      <c r="AD11" s="2" t="str">
        <f t="shared" si="1"/>
        <v>Active</v>
      </c>
      <c r="AE11" s="2" t="str">
        <f t="shared" si="15"/>
        <v>rsk57</v>
      </c>
      <c r="AF11" s="2" t="str">
        <f t="shared" si="16"/>
        <v>Transverse Insurance Company</v>
      </c>
      <c r="AG11" s="2" t="str">
        <f>("")</f>
        <v/>
      </c>
      <c r="AH11" s="2" t="str">
        <f>("")</f>
        <v/>
      </c>
      <c r="AI11" s="2" t="str">
        <f t="shared" si="2"/>
        <v>Beacon</v>
      </c>
      <c r="AJ11" s="2" t="str">
        <f>("Britt Kral")</f>
        <v>Britt Kral</v>
      </c>
      <c r="AK11" s="2" t="str">
        <f t="shared" si="3"/>
        <v xml:space="preserve"> </v>
      </c>
      <c r="AL11" s="2" t="str">
        <f t="shared" si="4"/>
        <v>Beacon Aviation Insurance Services - FL</v>
      </c>
      <c r="AM11" s="2" t="str">
        <f t="shared" si="5"/>
        <v>Deborah Stafford</v>
      </c>
      <c r="AN11" s="2" t="str">
        <f t="shared" si="6"/>
        <v xml:space="preserve"> </v>
      </c>
      <c r="AO11" s="2" t="str">
        <f t="shared" si="7"/>
        <v xml:space="preserve">Beacon Aviation Insurance Services </v>
      </c>
      <c r="AP11" s="2" t="str">
        <f t="shared" si="12"/>
        <v>Aircraft</v>
      </c>
      <c r="AQ11" s="2" t="str">
        <f t="shared" si="17"/>
        <v>Non-Commercial</v>
      </c>
      <c r="AR11" s="2" t="str">
        <f>("Endorsement")</f>
        <v>Endorsement</v>
      </c>
      <c r="AS11" s="2" t="str">
        <f t="shared" si="8"/>
        <v>New Business</v>
      </c>
      <c r="AT11" s="2"/>
      <c r="AU11" s="2"/>
      <c r="AV11" s="2" t="str">
        <f>("TX")</f>
        <v>TX</v>
      </c>
      <c r="AW11" s="3">
        <v>45016</v>
      </c>
      <c r="AX11" s="3">
        <v>45016</v>
      </c>
      <c r="AY11" s="3">
        <v>45083</v>
      </c>
      <c r="AZ11" s="2" t="b">
        <v>0</v>
      </c>
      <c r="BA11" s="2" t="b">
        <v>0</v>
      </c>
      <c r="BB11" s="2" t="str">
        <f t="shared" si="9"/>
        <v>Brokerage</v>
      </c>
      <c r="BC11" s="2" t="b">
        <v>0</v>
      </c>
      <c r="BD11" s="2" t="str">
        <f t="shared" si="10"/>
        <v>We File</v>
      </c>
      <c r="BE11" s="2" t="str">
        <f>("310 Oak Street")</f>
        <v>310 Oak Street</v>
      </c>
      <c r="BF11" s="2" t="str">
        <f>("76262")</f>
        <v>76262</v>
      </c>
      <c r="BG11" s="4">
        <v>0</v>
      </c>
      <c r="BH11" s="2">
        <v>10</v>
      </c>
      <c r="BI11" s="4">
        <v>0</v>
      </c>
      <c r="BJ11" s="4">
        <v>0</v>
      </c>
      <c r="BK11" s="4">
        <v>0</v>
      </c>
      <c r="BL11" s="4">
        <v>-628.20000000000005</v>
      </c>
      <c r="BM11" s="2"/>
      <c r="BN11" s="2" t="str">
        <f t="shared" si="11"/>
        <v>Non Admitted</v>
      </c>
      <c r="BO11" s="2" t="b">
        <v>0</v>
      </c>
      <c r="BP11" s="2" t="b">
        <v>0</v>
      </c>
      <c r="BQ11" s="2"/>
      <c r="BR11" s="2" t="str">
        <f>("Fort Worth")</f>
        <v>Fort Worth</v>
      </c>
      <c r="BS11" s="2" t="str">
        <f t="shared" si="18"/>
        <v>Active</v>
      </c>
      <c r="BT11" s="3">
        <v>45016</v>
      </c>
    </row>
    <row r="12" spans="1:72" x14ac:dyDescent="0.25">
      <c r="A12" s="2" t="str">
        <f>("090589")</f>
        <v>090589</v>
      </c>
      <c r="B12" s="2" t="str">
        <f>("TIBAAN 0000080-00")</f>
        <v>TIBAAN 0000080-00</v>
      </c>
      <c r="C12" s="2" t="str">
        <f>("Pollard Aircraft Sales Inc; Pollard Spares LLC; et al")</f>
        <v>Pollard Aircraft Sales Inc; Pollard Spares LLC; et al</v>
      </c>
      <c r="D12" s="2" t="str">
        <f>("")</f>
        <v/>
      </c>
      <c r="E12" s="2" t="str">
        <f>("")</f>
        <v/>
      </c>
      <c r="F12" s="2" t="str">
        <f>("Endorsement")</f>
        <v>Endorsement</v>
      </c>
      <c r="G12" s="2" t="b">
        <v>0</v>
      </c>
      <c r="H12" s="2" t="str">
        <f>("INV47293")</f>
        <v>INV47293</v>
      </c>
      <c r="I12" s="3">
        <v>45047</v>
      </c>
      <c r="J12" s="3">
        <v>45016</v>
      </c>
      <c r="K12" s="3">
        <v>45382</v>
      </c>
      <c r="L12" s="2">
        <v>25</v>
      </c>
      <c r="M12" s="2">
        <v>15</v>
      </c>
      <c r="N12" s="4">
        <v>6272</v>
      </c>
      <c r="O12" s="4">
        <v>0</v>
      </c>
      <c r="P12" s="4">
        <v>0</v>
      </c>
      <c r="Q12" s="4">
        <v>627.20000000000005</v>
      </c>
      <c r="R12" s="2">
        <v>10</v>
      </c>
      <c r="S12" s="4">
        <v>1568</v>
      </c>
      <c r="T12" s="4">
        <v>940.8</v>
      </c>
      <c r="U12" s="2" t="b">
        <v>0</v>
      </c>
      <c r="V12" s="2">
        <v>100</v>
      </c>
      <c r="W12" s="2" t="str">
        <f>("BEA1035")</f>
        <v>BEA1035</v>
      </c>
      <c r="X12" s="2" t="str">
        <f>("Halton Hall &amp; Associates, Inc.")</f>
        <v>Halton Hall &amp; Associates, Inc.</v>
      </c>
      <c r="Y12" s="2" t="str">
        <f>("TX - Roanoke")</f>
        <v>TX - Roanoke</v>
      </c>
      <c r="Z12" s="2" t="str">
        <f t="shared" si="0"/>
        <v>Active</v>
      </c>
      <c r="AA12" s="2" t="str">
        <f>("Jason L. Riley")</f>
        <v>Jason L. Riley</v>
      </c>
      <c r="AB12" s="2" t="str">
        <f t="shared" si="13"/>
        <v>mrk21</v>
      </c>
      <c r="AC12" s="2" t="str">
        <f t="shared" si="14"/>
        <v>Transverse Insurance Company</v>
      </c>
      <c r="AD12" s="2" t="str">
        <f t="shared" si="1"/>
        <v>Active</v>
      </c>
      <c r="AE12" s="2" t="str">
        <f t="shared" si="15"/>
        <v>rsk57</v>
      </c>
      <c r="AF12" s="2" t="str">
        <f t="shared" si="16"/>
        <v>Transverse Insurance Company</v>
      </c>
      <c r="AG12" s="2" t="str">
        <f>("")</f>
        <v/>
      </c>
      <c r="AH12" s="2" t="str">
        <f>("")</f>
        <v/>
      </c>
      <c r="AI12" s="2" t="str">
        <f t="shared" si="2"/>
        <v>Beacon</v>
      </c>
      <c r="AJ12" s="2" t="str">
        <f>("Britt Kral")</f>
        <v>Britt Kral</v>
      </c>
      <c r="AK12" s="2" t="str">
        <f t="shared" si="3"/>
        <v xml:space="preserve"> </v>
      </c>
      <c r="AL12" s="2" t="str">
        <f t="shared" si="4"/>
        <v>Beacon Aviation Insurance Services - FL</v>
      </c>
      <c r="AM12" s="2" t="str">
        <f t="shared" si="5"/>
        <v>Deborah Stafford</v>
      </c>
      <c r="AN12" s="2" t="str">
        <f t="shared" si="6"/>
        <v xml:space="preserve"> </v>
      </c>
      <c r="AO12" s="2" t="str">
        <f t="shared" si="7"/>
        <v xml:space="preserve">Beacon Aviation Insurance Services </v>
      </c>
      <c r="AP12" s="2" t="str">
        <f t="shared" si="12"/>
        <v>Aircraft</v>
      </c>
      <c r="AQ12" s="2" t="str">
        <f t="shared" si="17"/>
        <v>Non-Commercial</v>
      </c>
      <c r="AR12" s="2" t="str">
        <f>("Endorsement")</f>
        <v>Endorsement</v>
      </c>
      <c r="AS12" s="2" t="str">
        <f t="shared" si="8"/>
        <v>New Business</v>
      </c>
      <c r="AT12" s="2"/>
      <c r="AU12" s="2"/>
      <c r="AV12" s="2" t="str">
        <f>("TX")</f>
        <v>TX</v>
      </c>
      <c r="AW12" s="3">
        <v>45016</v>
      </c>
      <c r="AX12" s="3">
        <v>45016</v>
      </c>
      <c r="AY12" s="3">
        <v>45083</v>
      </c>
      <c r="AZ12" s="2" t="b">
        <v>0</v>
      </c>
      <c r="BA12" s="2" t="b">
        <v>0</v>
      </c>
      <c r="BB12" s="2" t="str">
        <f t="shared" si="9"/>
        <v>Brokerage</v>
      </c>
      <c r="BC12" s="2" t="b">
        <v>0</v>
      </c>
      <c r="BD12" s="2" t="str">
        <f t="shared" si="10"/>
        <v>We File</v>
      </c>
      <c r="BE12" s="2" t="str">
        <f>("310 Oak Street")</f>
        <v>310 Oak Street</v>
      </c>
      <c r="BF12" s="2" t="str">
        <f>("76262")</f>
        <v>76262</v>
      </c>
      <c r="BG12" s="4">
        <v>0</v>
      </c>
      <c r="BH12" s="2">
        <v>10</v>
      </c>
      <c r="BI12" s="4">
        <v>0</v>
      </c>
      <c r="BJ12" s="4">
        <v>0</v>
      </c>
      <c r="BK12" s="4">
        <v>0</v>
      </c>
      <c r="BL12" s="4">
        <v>627.20000000000005</v>
      </c>
      <c r="BM12" s="2"/>
      <c r="BN12" s="2" t="str">
        <f t="shared" si="11"/>
        <v>Non Admitted</v>
      </c>
      <c r="BO12" s="2" t="b">
        <v>0</v>
      </c>
      <c r="BP12" s="2" t="b">
        <v>0</v>
      </c>
      <c r="BQ12" s="2"/>
      <c r="BR12" s="2" t="str">
        <f>("Fort Worth")</f>
        <v>Fort Worth</v>
      </c>
      <c r="BS12" s="2" t="str">
        <f t="shared" si="18"/>
        <v>Active</v>
      </c>
      <c r="BT12" s="3">
        <v>45016</v>
      </c>
    </row>
    <row r="13" spans="1:72" x14ac:dyDescent="0.25">
      <c r="A13" s="2" t="str">
        <f>("095481")</f>
        <v>095481</v>
      </c>
      <c r="B13" s="2" t="str">
        <f>("TIBAAN 000093-00")</f>
        <v>TIBAAN 000093-00</v>
      </c>
      <c r="C13" s="2" t="str">
        <f>("Rafter K LLC")</f>
        <v>Rafter K LLC</v>
      </c>
      <c r="D13" s="2" t="str">
        <f>("")</f>
        <v/>
      </c>
      <c r="E13" s="2" t="str">
        <f>("")</f>
        <v/>
      </c>
      <c r="F13" s="2" t="str">
        <f>("")</f>
        <v/>
      </c>
      <c r="G13" s="2" t="b">
        <v>0</v>
      </c>
      <c r="H13" s="2" t="str">
        <f>("INV42535")</f>
        <v>INV42535</v>
      </c>
      <c r="I13" s="3">
        <v>45048</v>
      </c>
      <c r="J13" s="3">
        <v>45048</v>
      </c>
      <c r="K13" s="3">
        <v>45414</v>
      </c>
      <c r="L13" s="2">
        <v>25</v>
      </c>
      <c r="M13" s="2">
        <v>15</v>
      </c>
      <c r="N13" s="4">
        <v>32294</v>
      </c>
      <c r="O13" s="4">
        <v>0</v>
      </c>
      <c r="P13" s="4">
        <v>0</v>
      </c>
      <c r="Q13" s="4">
        <v>3229.4</v>
      </c>
      <c r="R13" s="2">
        <v>10</v>
      </c>
      <c r="S13" s="4">
        <v>8073.5</v>
      </c>
      <c r="T13" s="4">
        <v>4844.1000000000004</v>
      </c>
      <c r="U13" s="2" t="b">
        <v>0</v>
      </c>
      <c r="V13" s="2">
        <v>100</v>
      </c>
      <c r="W13" s="2" t="str">
        <f>("BEA1166")</f>
        <v>BEA1166</v>
      </c>
      <c r="X13" s="2" t="str">
        <f>("Wings Insurance ")</f>
        <v xml:space="preserve">Wings Insurance </v>
      </c>
      <c r="Y13" s="2" t="str">
        <f>("MN - Eden Prairie")</f>
        <v>MN - Eden Prairie</v>
      </c>
      <c r="Z13" s="2" t="str">
        <f t="shared" si="0"/>
        <v>Active</v>
      </c>
      <c r="AA13" s="2" t="str">
        <f>("Zena Dukes")</f>
        <v>Zena Dukes</v>
      </c>
      <c r="AB13" s="2" t="str">
        <f t="shared" si="13"/>
        <v>mrk21</v>
      </c>
      <c r="AC13" s="2" t="str">
        <f t="shared" si="14"/>
        <v>Transverse Insurance Company</v>
      </c>
      <c r="AD13" s="2" t="str">
        <f t="shared" si="1"/>
        <v>Active</v>
      </c>
      <c r="AE13" s="2" t="str">
        <f t="shared" si="15"/>
        <v>rsk57</v>
      </c>
      <c r="AF13" s="2" t="str">
        <f t="shared" si="16"/>
        <v>Transverse Insurance Company</v>
      </c>
      <c r="AG13" s="2" t="str">
        <f>("")</f>
        <v/>
      </c>
      <c r="AH13" s="2" t="str">
        <f>("")</f>
        <v/>
      </c>
      <c r="AI13" s="2" t="str">
        <f t="shared" si="2"/>
        <v>Beacon</v>
      </c>
      <c r="AJ13" s="2" t="str">
        <f>("Britt Kral")</f>
        <v>Britt Kral</v>
      </c>
      <c r="AK13" s="2" t="str">
        <f t="shared" si="3"/>
        <v xml:space="preserve"> </v>
      </c>
      <c r="AL13" s="2" t="str">
        <f t="shared" si="4"/>
        <v>Beacon Aviation Insurance Services - FL</v>
      </c>
      <c r="AM13" s="2" t="str">
        <f t="shared" si="5"/>
        <v>Deborah Stafford</v>
      </c>
      <c r="AN13" s="2" t="str">
        <f t="shared" si="6"/>
        <v xml:space="preserve"> </v>
      </c>
      <c r="AO13" s="2" t="str">
        <f t="shared" si="7"/>
        <v xml:space="preserve">Beacon Aviation Insurance Services </v>
      </c>
      <c r="AP13" s="2" t="str">
        <f t="shared" si="12"/>
        <v>Aircraft</v>
      </c>
      <c r="AQ13" s="2" t="str">
        <f t="shared" si="17"/>
        <v>Non-Commercial</v>
      </c>
      <c r="AR13" s="2" t="str">
        <f t="shared" ref="AR13:AR18" si="19">("New Business")</f>
        <v>New Business</v>
      </c>
      <c r="AS13" s="2" t="str">
        <f t="shared" si="8"/>
        <v>New Business</v>
      </c>
      <c r="AT13" s="2"/>
      <c r="AU13" s="2"/>
      <c r="AV13" s="2" t="str">
        <f>("MO")</f>
        <v>MO</v>
      </c>
      <c r="AW13" s="3">
        <v>45013</v>
      </c>
      <c r="AX13" s="3">
        <v>45049</v>
      </c>
      <c r="AY13" s="3">
        <v>45049</v>
      </c>
      <c r="AZ13" s="2" t="b">
        <v>0</v>
      </c>
      <c r="BA13" s="2" t="b">
        <v>0</v>
      </c>
      <c r="BB13" s="2" t="str">
        <f t="shared" si="9"/>
        <v>Brokerage</v>
      </c>
      <c r="BC13" s="2" t="b">
        <v>0</v>
      </c>
      <c r="BD13" s="2" t="str">
        <f t="shared" si="10"/>
        <v>We File</v>
      </c>
      <c r="BE13" s="2" t="str">
        <f>("14871 Pioneer Trail")</f>
        <v>14871 Pioneer Trail</v>
      </c>
      <c r="BF13" s="2" t="str">
        <f>("55347")</f>
        <v>55347</v>
      </c>
      <c r="BG13" s="4">
        <v>0</v>
      </c>
      <c r="BH13" s="2">
        <v>10</v>
      </c>
      <c r="BI13" s="4">
        <v>0</v>
      </c>
      <c r="BJ13" s="4">
        <v>0</v>
      </c>
      <c r="BK13" s="4">
        <v>0</v>
      </c>
      <c r="BL13" s="4">
        <v>3229.4</v>
      </c>
      <c r="BM13" s="2"/>
      <c r="BN13" s="2" t="str">
        <f t="shared" si="11"/>
        <v>Non Admitted</v>
      </c>
      <c r="BO13" s="2" t="b">
        <v>0</v>
      </c>
      <c r="BP13" s="2" t="b">
        <v>0</v>
      </c>
      <c r="BQ13" s="2"/>
      <c r="BR13" s="2" t="str">
        <f>("Liberal")</f>
        <v>Liberal</v>
      </c>
      <c r="BS13" s="2" t="str">
        <f t="shared" si="18"/>
        <v>Active</v>
      </c>
      <c r="BT13" s="3">
        <v>45048</v>
      </c>
    </row>
    <row r="14" spans="1:72" x14ac:dyDescent="0.25">
      <c r="A14" s="2" t="str">
        <f>("097422")</f>
        <v>097422</v>
      </c>
      <c r="B14" s="2" t="str">
        <f>("TIBAAN 0009002-00")</f>
        <v>TIBAAN 0009002-00</v>
      </c>
      <c r="C14" s="2" t="str">
        <f>("Kupau Inc")</f>
        <v>Kupau Inc</v>
      </c>
      <c r="D14" s="2" t="str">
        <f>("")</f>
        <v/>
      </c>
      <c r="E14" s="2" t="str">
        <f>("")</f>
        <v/>
      </c>
      <c r="F14" s="2" t="str">
        <f>("")</f>
        <v/>
      </c>
      <c r="G14" s="2" t="b">
        <v>0</v>
      </c>
      <c r="H14" s="2" t="str">
        <f>("INV42226")</f>
        <v>INV42226</v>
      </c>
      <c r="I14" s="3">
        <v>45048</v>
      </c>
      <c r="J14" s="3">
        <v>45048</v>
      </c>
      <c r="K14" s="3">
        <v>45414</v>
      </c>
      <c r="L14" s="2">
        <v>25</v>
      </c>
      <c r="M14" s="2">
        <v>15</v>
      </c>
      <c r="N14" s="4">
        <v>4245</v>
      </c>
      <c r="O14" s="4">
        <v>0</v>
      </c>
      <c r="P14" s="4">
        <v>0</v>
      </c>
      <c r="Q14" s="4">
        <v>424.5</v>
      </c>
      <c r="R14" s="2">
        <v>10</v>
      </c>
      <c r="S14" s="4">
        <v>1061.25</v>
      </c>
      <c r="T14" s="4">
        <v>636.75</v>
      </c>
      <c r="U14" s="2" t="b">
        <v>0</v>
      </c>
      <c r="V14" s="2">
        <v>100</v>
      </c>
      <c r="W14" s="2" t="str">
        <f>("BEA1166")</f>
        <v>BEA1166</v>
      </c>
      <c r="X14" s="2" t="str">
        <f>("Wings Insurance ")</f>
        <v xml:space="preserve">Wings Insurance </v>
      </c>
      <c r="Y14" s="2" t="str">
        <f>("MN - Eden Prairie")</f>
        <v>MN - Eden Prairie</v>
      </c>
      <c r="Z14" s="2" t="str">
        <f t="shared" si="0"/>
        <v>Active</v>
      </c>
      <c r="AA14" s="2" t="str">
        <f>("Renewal Dept")</f>
        <v>Renewal Dept</v>
      </c>
      <c r="AB14" s="2" t="str">
        <f t="shared" si="13"/>
        <v>mrk21</v>
      </c>
      <c r="AC14" s="2" t="str">
        <f t="shared" si="14"/>
        <v>Transverse Insurance Company</v>
      </c>
      <c r="AD14" s="2" t="str">
        <f t="shared" si="1"/>
        <v>Active</v>
      </c>
      <c r="AE14" s="2" t="str">
        <f t="shared" si="15"/>
        <v>rsk57</v>
      </c>
      <c r="AF14" s="2" t="str">
        <f t="shared" si="16"/>
        <v>Transverse Insurance Company</v>
      </c>
      <c r="AG14" s="2" t="str">
        <f>("")</f>
        <v/>
      </c>
      <c r="AH14" s="2" t="str">
        <f>("")</f>
        <v/>
      </c>
      <c r="AI14" s="2" t="str">
        <f t="shared" si="2"/>
        <v>Beacon</v>
      </c>
      <c r="AJ14" s="2" t="str">
        <f>("Beacon GA UW")</f>
        <v>Beacon GA UW</v>
      </c>
      <c r="AK14" s="2" t="str">
        <f t="shared" si="3"/>
        <v xml:space="preserve"> </v>
      </c>
      <c r="AL14" s="2" t="str">
        <f t="shared" si="4"/>
        <v>Beacon Aviation Insurance Services - FL</v>
      </c>
      <c r="AM14" s="2" t="str">
        <f t="shared" si="5"/>
        <v>Deborah Stafford</v>
      </c>
      <c r="AN14" s="2" t="str">
        <f t="shared" si="6"/>
        <v xml:space="preserve"> </v>
      </c>
      <c r="AO14" s="2" t="str">
        <f t="shared" si="7"/>
        <v xml:space="preserve">Beacon Aviation Insurance Services </v>
      </c>
      <c r="AP14" s="2" t="str">
        <f t="shared" si="12"/>
        <v>Aircraft</v>
      </c>
      <c r="AQ14" s="2" t="str">
        <f t="shared" si="17"/>
        <v>Non-Commercial</v>
      </c>
      <c r="AR14" s="2" t="str">
        <f t="shared" si="19"/>
        <v>New Business</v>
      </c>
      <c r="AS14" s="2" t="str">
        <f t="shared" si="8"/>
        <v>New Business</v>
      </c>
      <c r="AT14" s="2"/>
      <c r="AU14" s="2"/>
      <c r="AV14" s="2" t="str">
        <f>("HI")</f>
        <v>HI</v>
      </c>
      <c r="AW14" s="3">
        <v>45030</v>
      </c>
      <c r="AX14" s="3">
        <v>45047</v>
      </c>
      <c r="AY14" s="3">
        <v>45047</v>
      </c>
      <c r="AZ14" s="2" t="b">
        <v>0</v>
      </c>
      <c r="BA14" s="2" t="b">
        <v>0</v>
      </c>
      <c r="BB14" s="2" t="str">
        <f t="shared" si="9"/>
        <v>Brokerage</v>
      </c>
      <c r="BC14" s="2" t="b">
        <v>0</v>
      </c>
      <c r="BD14" s="2" t="str">
        <f t="shared" si="10"/>
        <v>We File</v>
      </c>
      <c r="BE14" s="2" t="str">
        <f>("14871 Pioneer Trail")</f>
        <v>14871 Pioneer Trail</v>
      </c>
      <c r="BF14" s="2" t="str">
        <f>("55347")</f>
        <v>55347</v>
      </c>
      <c r="BG14" s="4">
        <v>0</v>
      </c>
      <c r="BH14" s="2">
        <v>10</v>
      </c>
      <c r="BI14" s="4">
        <v>0</v>
      </c>
      <c r="BJ14" s="4">
        <v>0</v>
      </c>
      <c r="BK14" s="4">
        <v>0</v>
      </c>
      <c r="BL14" s="4">
        <v>424.5</v>
      </c>
      <c r="BM14" s="2"/>
      <c r="BN14" s="2" t="str">
        <f t="shared" si="11"/>
        <v>Non Admitted</v>
      </c>
      <c r="BO14" s="2" t="b">
        <v>0</v>
      </c>
      <c r="BP14" s="2" t="b">
        <v>0</v>
      </c>
      <c r="BQ14" s="2"/>
      <c r="BR14" s="2" t="str">
        <f>("Kailua Kona")</f>
        <v>Kailua Kona</v>
      </c>
      <c r="BS14" s="2" t="str">
        <f t="shared" si="18"/>
        <v>Active</v>
      </c>
      <c r="BT14" s="3">
        <v>45048</v>
      </c>
    </row>
    <row r="15" spans="1:72" x14ac:dyDescent="0.25">
      <c r="A15" s="2" t="str">
        <f>("101377")</f>
        <v>101377</v>
      </c>
      <c r="B15" s="2" t="str">
        <f>("TIBAAN 0009003-00")</f>
        <v>TIBAAN 0009003-00</v>
      </c>
      <c r="C15" s="2" t="str">
        <f>("DILO Equipment Leasing, LLC")</f>
        <v>DILO Equipment Leasing, LLC</v>
      </c>
      <c r="D15" s="2" t="str">
        <f>("")</f>
        <v/>
      </c>
      <c r="E15" s="2" t="str">
        <f>("")</f>
        <v/>
      </c>
      <c r="F15" s="2" t="str">
        <f>("")</f>
        <v/>
      </c>
      <c r="G15" s="2" t="b">
        <v>0</v>
      </c>
      <c r="H15" s="2" t="str">
        <f>("INV45387")</f>
        <v>INV45387</v>
      </c>
      <c r="I15" s="3">
        <v>45048</v>
      </c>
      <c r="J15" s="3">
        <v>45048</v>
      </c>
      <c r="K15" s="3">
        <v>45414</v>
      </c>
      <c r="L15" s="2">
        <v>25</v>
      </c>
      <c r="M15" s="2">
        <v>15</v>
      </c>
      <c r="N15" s="4">
        <v>6300</v>
      </c>
      <c r="O15" s="4">
        <v>126</v>
      </c>
      <c r="P15" s="4">
        <v>0</v>
      </c>
      <c r="Q15" s="4">
        <v>630</v>
      </c>
      <c r="R15" s="2">
        <v>10</v>
      </c>
      <c r="S15" s="4">
        <v>1575</v>
      </c>
      <c r="T15" s="4">
        <v>945</v>
      </c>
      <c r="U15" s="2" t="b">
        <v>0</v>
      </c>
      <c r="V15" s="2">
        <v>100</v>
      </c>
      <c r="W15" s="2" t="str">
        <f>("BEA1131")</f>
        <v>BEA1131</v>
      </c>
      <c r="X15" s="2" t="str">
        <f>("Travers &amp; Associates")</f>
        <v>Travers &amp; Associates</v>
      </c>
      <c r="Y15" s="2" t="str">
        <f>("MO - Saint Louis")</f>
        <v>MO - Saint Louis</v>
      </c>
      <c r="Z15" s="2" t="str">
        <f t="shared" si="0"/>
        <v>Active</v>
      </c>
      <c r="AA15" s="2" t="str">
        <f>("Kathryn Forbes")</f>
        <v>Kathryn Forbes</v>
      </c>
      <c r="AB15" s="2" t="str">
        <f t="shared" si="13"/>
        <v>mrk21</v>
      </c>
      <c r="AC15" s="2" t="str">
        <f t="shared" si="14"/>
        <v>Transverse Insurance Company</v>
      </c>
      <c r="AD15" s="2" t="str">
        <f t="shared" si="1"/>
        <v>Active</v>
      </c>
      <c r="AE15" s="2" t="str">
        <f t="shared" si="15"/>
        <v>rsk57</v>
      </c>
      <c r="AF15" s="2" t="str">
        <f t="shared" si="16"/>
        <v>Transverse Insurance Company</v>
      </c>
      <c r="AG15" s="2" t="str">
        <f>("")</f>
        <v/>
      </c>
      <c r="AH15" s="2" t="str">
        <f>("")</f>
        <v/>
      </c>
      <c r="AI15" s="2" t="str">
        <f t="shared" si="2"/>
        <v>Beacon</v>
      </c>
      <c r="AJ15" s="2" t="str">
        <f>("Britt Kral")</f>
        <v>Britt Kral</v>
      </c>
      <c r="AK15" s="2" t="str">
        <f t="shared" si="3"/>
        <v xml:space="preserve"> </v>
      </c>
      <c r="AL15" s="2" t="str">
        <f t="shared" si="4"/>
        <v>Beacon Aviation Insurance Services - FL</v>
      </c>
      <c r="AM15" s="2" t="str">
        <f>("Sharon Woods")</f>
        <v>Sharon Woods</v>
      </c>
      <c r="AN15" s="2" t="str">
        <f t="shared" si="6"/>
        <v xml:space="preserve"> </v>
      </c>
      <c r="AO15" s="2" t="str">
        <f t="shared" si="7"/>
        <v xml:space="preserve">Beacon Aviation Insurance Services </v>
      </c>
      <c r="AP15" s="2" t="str">
        <f t="shared" si="12"/>
        <v>Aircraft</v>
      </c>
      <c r="AQ15" s="2" t="str">
        <f t="shared" si="17"/>
        <v>Non-Commercial</v>
      </c>
      <c r="AR15" s="2" t="str">
        <f t="shared" si="19"/>
        <v>New Business</v>
      </c>
      <c r="AS15" s="2" t="str">
        <f t="shared" si="8"/>
        <v>New Business</v>
      </c>
      <c r="AT15" s="2"/>
      <c r="AU15" s="2"/>
      <c r="AV15" s="2" t="str">
        <f>("FL")</f>
        <v>FL</v>
      </c>
      <c r="AW15" s="3">
        <v>45069</v>
      </c>
      <c r="AX15" s="3">
        <v>45069</v>
      </c>
      <c r="AY15" s="3">
        <v>45069</v>
      </c>
      <c r="AZ15" s="2" t="b">
        <v>0</v>
      </c>
      <c r="BA15" s="2" t="b">
        <v>0</v>
      </c>
      <c r="BB15" s="2" t="str">
        <f t="shared" si="9"/>
        <v>Brokerage</v>
      </c>
      <c r="BC15" s="2" t="b">
        <v>0</v>
      </c>
      <c r="BD15" s="2" t="str">
        <f t="shared" si="10"/>
        <v>We File</v>
      </c>
      <c r="BE15" s="2" t="str">
        <f>("PO Box 220519")</f>
        <v>PO Box 220519</v>
      </c>
      <c r="BF15" s="2" t="str">
        <f>("63122")</f>
        <v>63122</v>
      </c>
      <c r="BG15" s="4">
        <v>0</v>
      </c>
      <c r="BH15" s="2">
        <v>10</v>
      </c>
      <c r="BI15" s="4">
        <v>0</v>
      </c>
      <c r="BJ15" s="4">
        <v>0</v>
      </c>
      <c r="BK15" s="4">
        <v>0</v>
      </c>
      <c r="BL15" s="4">
        <v>630</v>
      </c>
      <c r="BM15" s="2"/>
      <c r="BN15" s="2" t="str">
        <f t="shared" si="11"/>
        <v>Non Admitted</v>
      </c>
      <c r="BO15" s="2" t="b">
        <v>0</v>
      </c>
      <c r="BP15" s="2" t="b">
        <v>0</v>
      </c>
      <c r="BQ15" s="2"/>
      <c r="BR15" s="2" t="str">
        <f>("Clearwater")</f>
        <v>Clearwater</v>
      </c>
      <c r="BS15" s="2" t="str">
        <f t="shared" si="18"/>
        <v>Active</v>
      </c>
      <c r="BT15" s="3">
        <v>45048</v>
      </c>
    </row>
    <row r="16" spans="1:72" x14ac:dyDescent="0.25">
      <c r="A16" s="2" t="str">
        <f>("096646")</f>
        <v>096646</v>
      </c>
      <c r="B16" s="2" t="str">
        <f>("TIBAAN 0009000-00")</f>
        <v>TIBAAN 0009000-00</v>
      </c>
      <c r="C16" s="2" t="str">
        <f>("N37GD, LLC")</f>
        <v>N37GD, LLC</v>
      </c>
      <c r="D16" s="2" t="str">
        <f>("")</f>
        <v/>
      </c>
      <c r="E16" s="2" t="str">
        <f>("")</f>
        <v/>
      </c>
      <c r="F16" s="2" t="str">
        <f>("")</f>
        <v/>
      </c>
      <c r="G16" s="2" t="b">
        <v>0</v>
      </c>
      <c r="H16" s="2" t="str">
        <f>("INV42252")</f>
        <v>INV42252</v>
      </c>
      <c r="I16" s="3">
        <v>45049</v>
      </c>
      <c r="J16" s="3">
        <v>45049</v>
      </c>
      <c r="K16" s="3">
        <v>45415</v>
      </c>
      <c r="L16" s="2">
        <v>25</v>
      </c>
      <c r="M16" s="2">
        <v>15</v>
      </c>
      <c r="N16" s="4">
        <v>4514</v>
      </c>
      <c r="O16" s="4">
        <v>90.28</v>
      </c>
      <c r="P16" s="4">
        <v>0</v>
      </c>
      <c r="Q16" s="4">
        <v>451.4</v>
      </c>
      <c r="R16" s="2">
        <v>10</v>
      </c>
      <c r="S16" s="4">
        <v>1128.5</v>
      </c>
      <c r="T16" s="4">
        <v>677.1</v>
      </c>
      <c r="U16" s="2" t="b">
        <v>0</v>
      </c>
      <c r="V16" s="2">
        <v>100</v>
      </c>
      <c r="W16" s="2" t="str">
        <f>("BEA1166")</f>
        <v>BEA1166</v>
      </c>
      <c r="X16" s="2" t="str">
        <f>("Wings Insurance ")</f>
        <v xml:space="preserve">Wings Insurance </v>
      </c>
      <c r="Y16" s="2" t="str">
        <f>("MN - Eden Prairie")</f>
        <v>MN - Eden Prairie</v>
      </c>
      <c r="Z16" s="2" t="str">
        <f t="shared" si="0"/>
        <v>Active</v>
      </c>
      <c r="AA16" s="2" t="str">
        <f>("Kate Bjorke")</f>
        <v>Kate Bjorke</v>
      </c>
      <c r="AB16" s="2" t="str">
        <f t="shared" si="13"/>
        <v>mrk21</v>
      </c>
      <c r="AC16" s="2" t="str">
        <f t="shared" si="14"/>
        <v>Transverse Insurance Company</v>
      </c>
      <c r="AD16" s="2" t="str">
        <f t="shared" si="1"/>
        <v>Active</v>
      </c>
      <c r="AE16" s="2" t="str">
        <f t="shared" si="15"/>
        <v>rsk57</v>
      </c>
      <c r="AF16" s="2" t="str">
        <f t="shared" si="16"/>
        <v>Transverse Insurance Company</v>
      </c>
      <c r="AG16" s="2" t="str">
        <f>("")</f>
        <v/>
      </c>
      <c r="AH16" s="2" t="str">
        <f>("")</f>
        <v/>
      </c>
      <c r="AI16" s="2" t="str">
        <f t="shared" si="2"/>
        <v>Beacon</v>
      </c>
      <c r="AJ16" s="2" t="str">
        <f>("Britt Kral")</f>
        <v>Britt Kral</v>
      </c>
      <c r="AK16" s="2" t="str">
        <f t="shared" si="3"/>
        <v xml:space="preserve"> </v>
      </c>
      <c r="AL16" s="2" t="str">
        <f t="shared" si="4"/>
        <v>Beacon Aviation Insurance Services - FL</v>
      </c>
      <c r="AM16" s="2" t="str">
        <f>("Deborah Stafford")</f>
        <v>Deborah Stafford</v>
      </c>
      <c r="AN16" s="2" t="str">
        <f t="shared" si="6"/>
        <v xml:space="preserve"> </v>
      </c>
      <c r="AO16" s="2" t="str">
        <f t="shared" si="7"/>
        <v xml:space="preserve">Beacon Aviation Insurance Services </v>
      </c>
      <c r="AP16" s="2" t="str">
        <f t="shared" si="12"/>
        <v>Aircraft</v>
      </c>
      <c r="AQ16" s="2" t="str">
        <f t="shared" si="17"/>
        <v>Non-Commercial</v>
      </c>
      <c r="AR16" s="2" t="str">
        <f t="shared" si="19"/>
        <v>New Business</v>
      </c>
      <c r="AS16" s="2" t="str">
        <f t="shared" si="8"/>
        <v>New Business</v>
      </c>
      <c r="AT16" s="2"/>
      <c r="AU16" s="2"/>
      <c r="AV16" s="2" t="str">
        <f>("FL")</f>
        <v>FL</v>
      </c>
      <c r="AW16" s="3">
        <v>45021</v>
      </c>
      <c r="AX16" s="3">
        <v>45044</v>
      </c>
      <c r="AY16" s="3">
        <v>45048</v>
      </c>
      <c r="AZ16" s="2" t="b">
        <v>0</v>
      </c>
      <c r="BA16" s="2" t="b">
        <v>0</v>
      </c>
      <c r="BB16" s="2" t="str">
        <f t="shared" si="9"/>
        <v>Brokerage</v>
      </c>
      <c r="BC16" s="2" t="b">
        <v>0</v>
      </c>
      <c r="BD16" s="2" t="str">
        <f t="shared" si="10"/>
        <v>We File</v>
      </c>
      <c r="BE16" s="2" t="str">
        <f>("14871 Pioneer Trail")</f>
        <v>14871 Pioneer Trail</v>
      </c>
      <c r="BF16" s="2" t="str">
        <f>("55347")</f>
        <v>55347</v>
      </c>
      <c r="BG16" s="4">
        <v>0</v>
      </c>
      <c r="BH16" s="2">
        <v>10</v>
      </c>
      <c r="BI16" s="4">
        <v>0</v>
      </c>
      <c r="BJ16" s="4">
        <v>0</v>
      </c>
      <c r="BK16" s="4">
        <v>0</v>
      </c>
      <c r="BL16" s="4">
        <v>451.4</v>
      </c>
      <c r="BM16" s="2"/>
      <c r="BN16" s="2" t="str">
        <f t="shared" si="11"/>
        <v>Non Admitted</v>
      </c>
      <c r="BO16" s="2" t="b">
        <v>0</v>
      </c>
      <c r="BP16" s="2" t="b">
        <v>0</v>
      </c>
      <c r="BQ16" s="2"/>
      <c r="BR16" s="2" t="str">
        <f>("Fort Myers")</f>
        <v>Fort Myers</v>
      </c>
      <c r="BS16" s="2" t="str">
        <f t="shared" si="18"/>
        <v>Active</v>
      </c>
      <c r="BT16" s="3">
        <v>45049</v>
      </c>
    </row>
    <row r="17" spans="1:72" x14ac:dyDescent="0.25">
      <c r="A17" s="2" t="str">
        <f>("098637")</f>
        <v>098637</v>
      </c>
      <c r="B17" s="2" t="str">
        <f>("TIBAAN 0009005-00")</f>
        <v>TIBAAN 0009005-00</v>
      </c>
      <c r="C17" s="2" t="str">
        <f>("Angely Air, LLC")</f>
        <v>Angely Air, LLC</v>
      </c>
      <c r="D17" s="2" t="str">
        <f>("")</f>
        <v/>
      </c>
      <c r="E17" s="2" t="str">
        <f>("")</f>
        <v/>
      </c>
      <c r="F17" s="2" t="str">
        <f>("")</f>
        <v/>
      </c>
      <c r="G17" s="2" t="b">
        <v>0</v>
      </c>
      <c r="H17" s="2" t="str">
        <f>("INV42617")</f>
        <v>INV42617</v>
      </c>
      <c r="I17" s="3">
        <v>45049</v>
      </c>
      <c r="J17" s="3">
        <v>45049</v>
      </c>
      <c r="K17" s="3">
        <v>45415</v>
      </c>
      <c r="L17" s="2">
        <v>25</v>
      </c>
      <c r="M17" s="2">
        <v>15</v>
      </c>
      <c r="N17" s="4">
        <v>11019</v>
      </c>
      <c r="O17" s="4">
        <v>0</v>
      </c>
      <c r="P17" s="4">
        <v>0</v>
      </c>
      <c r="Q17" s="4">
        <v>1101.9000000000001</v>
      </c>
      <c r="R17" s="2">
        <v>10</v>
      </c>
      <c r="S17" s="4">
        <v>2754.75</v>
      </c>
      <c r="T17" s="4">
        <v>1652.85</v>
      </c>
      <c r="U17" s="2" t="b">
        <v>0</v>
      </c>
      <c r="V17" s="2">
        <v>100</v>
      </c>
      <c r="W17" s="2" t="str">
        <f>("BEA1021")</f>
        <v>BEA1021</v>
      </c>
      <c r="X17" s="2" t="str">
        <f>("Avion Insurance Agency, Inc")</f>
        <v>Avion Insurance Agency, Inc</v>
      </c>
      <c r="Y17" s="2" t="str">
        <f>("FL - Lake Mary")</f>
        <v>FL - Lake Mary</v>
      </c>
      <c r="Z17" s="2" t="str">
        <f t="shared" si="0"/>
        <v>Active</v>
      </c>
      <c r="AA17" s="2" t="str">
        <f>("Chris J Conroy")</f>
        <v>Chris J Conroy</v>
      </c>
      <c r="AB17" s="2" t="str">
        <f t="shared" si="13"/>
        <v>mrk21</v>
      </c>
      <c r="AC17" s="2" t="str">
        <f t="shared" si="14"/>
        <v>Transverse Insurance Company</v>
      </c>
      <c r="AD17" s="2" t="str">
        <f t="shared" si="1"/>
        <v>Active</v>
      </c>
      <c r="AE17" s="2" t="str">
        <f t="shared" si="15"/>
        <v>rsk57</v>
      </c>
      <c r="AF17" s="2" t="str">
        <f t="shared" si="16"/>
        <v>Transverse Insurance Company</v>
      </c>
      <c r="AG17" s="2" t="str">
        <f>("")</f>
        <v/>
      </c>
      <c r="AH17" s="2" t="str">
        <f>("")</f>
        <v/>
      </c>
      <c r="AI17" s="2" t="str">
        <f t="shared" si="2"/>
        <v>Beacon</v>
      </c>
      <c r="AJ17" s="2" t="str">
        <f>("Britt Kral")</f>
        <v>Britt Kral</v>
      </c>
      <c r="AK17" s="2" t="str">
        <f t="shared" si="3"/>
        <v xml:space="preserve"> </v>
      </c>
      <c r="AL17" s="2" t="str">
        <f t="shared" si="4"/>
        <v>Beacon Aviation Insurance Services - FL</v>
      </c>
      <c r="AM17" s="2" t="str">
        <f>("Deborah Stafford")</f>
        <v>Deborah Stafford</v>
      </c>
      <c r="AN17" s="2" t="str">
        <f t="shared" si="6"/>
        <v xml:space="preserve"> </v>
      </c>
      <c r="AO17" s="2" t="str">
        <f t="shared" si="7"/>
        <v xml:space="preserve">Beacon Aviation Insurance Services </v>
      </c>
      <c r="AP17" s="2" t="str">
        <f t="shared" si="12"/>
        <v>Aircraft</v>
      </c>
      <c r="AQ17" s="2" t="str">
        <f t="shared" si="17"/>
        <v>Non-Commercial</v>
      </c>
      <c r="AR17" s="2" t="str">
        <f t="shared" si="19"/>
        <v>New Business</v>
      </c>
      <c r="AS17" s="2" t="str">
        <f t="shared" si="8"/>
        <v>New Business</v>
      </c>
      <c r="AT17" s="2"/>
      <c r="AU17" s="2"/>
      <c r="AV17" s="2" t="str">
        <f>("TX")</f>
        <v>TX</v>
      </c>
      <c r="AW17" s="3">
        <v>45042</v>
      </c>
      <c r="AX17" s="3">
        <v>45049</v>
      </c>
      <c r="AY17" s="3">
        <v>45049</v>
      </c>
      <c r="AZ17" s="2" t="b">
        <v>0</v>
      </c>
      <c r="BA17" s="2" t="b">
        <v>0</v>
      </c>
      <c r="BB17" s="2" t="str">
        <f t="shared" si="9"/>
        <v>Brokerage</v>
      </c>
      <c r="BC17" s="2" t="b">
        <v>0</v>
      </c>
      <c r="BD17" s="2" t="str">
        <f t="shared" si="10"/>
        <v>We File</v>
      </c>
      <c r="BE17" s="2" t="str">
        <f>("1307 South International Parkway")</f>
        <v>1307 South International Parkway</v>
      </c>
      <c r="BF17" s="2" t="str">
        <f>("32746")</f>
        <v>32746</v>
      </c>
      <c r="BG17" s="4">
        <v>0</v>
      </c>
      <c r="BH17" s="2">
        <v>10</v>
      </c>
      <c r="BI17" s="4">
        <v>0</v>
      </c>
      <c r="BJ17" s="4">
        <v>0</v>
      </c>
      <c r="BK17" s="4">
        <v>0</v>
      </c>
      <c r="BL17" s="4">
        <v>1101.9000000000001</v>
      </c>
      <c r="BM17" s="2"/>
      <c r="BN17" s="2" t="str">
        <f t="shared" si="11"/>
        <v>Non Admitted</v>
      </c>
      <c r="BO17" s="2" t="b">
        <v>0</v>
      </c>
      <c r="BP17" s="2" t="b">
        <v>0</v>
      </c>
      <c r="BQ17" s="2"/>
      <c r="BR17" s="2" t="str">
        <f>("Harlingen")</f>
        <v>Harlingen</v>
      </c>
      <c r="BS17" s="2" t="str">
        <f t="shared" si="18"/>
        <v>Active</v>
      </c>
      <c r="BT17" s="3">
        <v>45049</v>
      </c>
    </row>
    <row r="18" spans="1:72" x14ac:dyDescent="0.25">
      <c r="A18" s="2" t="str">
        <f>("091453")</f>
        <v>091453</v>
      </c>
      <c r="B18" s="2" t="str">
        <f>("TIBAAN 0000084-00")</f>
        <v>TIBAAN 0000084-00</v>
      </c>
      <c r="C18" s="2" t="str">
        <f>("DamnRightITsAJet LLC")</f>
        <v>DamnRightITsAJet LLC</v>
      </c>
      <c r="D18" s="2" t="str">
        <f>("")</f>
        <v/>
      </c>
      <c r="E18" s="2" t="str">
        <f>("")</f>
        <v/>
      </c>
      <c r="F18" s="2" t="str">
        <f>("")</f>
        <v/>
      </c>
      <c r="G18" s="2" t="b">
        <v>0</v>
      </c>
      <c r="H18" s="2" t="str">
        <f>("INV42325")</f>
        <v>INV42325</v>
      </c>
      <c r="I18" s="3">
        <v>45051</v>
      </c>
      <c r="J18" s="3">
        <v>45051</v>
      </c>
      <c r="K18" s="3">
        <v>45417</v>
      </c>
      <c r="L18" s="2">
        <v>25</v>
      </c>
      <c r="M18" s="2">
        <v>15</v>
      </c>
      <c r="N18" s="4">
        <v>48852</v>
      </c>
      <c r="O18" s="4">
        <v>0</v>
      </c>
      <c r="P18" s="4">
        <v>0</v>
      </c>
      <c r="Q18" s="4">
        <v>4885.2</v>
      </c>
      <c r="R18" s="2">
        <v>10</v>
      </c>
      <c r="S18" s="4">
        <v>12213</v>
      </c>
      <c r="T18" s="4">
        <v>7327.8</v>
      </c>
      <c r="U18" s="2" t="b">
        <v>0</v>
      </c>
      <c r="V18" s="2">
        <v>100</v>
      </c>
      <c r="W18" s="2" t="str">
        <f>("BEA1166")</f>
        <v>BEA1166</v>
      </c>
      <c r="X18" s="2" t="str">
        <f>("Wings Insurance ")</f>
        <v xml:space="preserve">Wings Insurance </v>
      </c>
      <c r="Y18" s="2" t="str">
        <f>("MN - Eden Prairie")</f>
        <v>MN - Eden Prairie</v>
      </c>
      <c r="Z18" s="2" t="str">
        <f t="shared" si="0"/>
        <v>Active</v>
      </c>
      <c r="AA18" s="2" t="str">
        <f>("Sara Weidler")</f>
        <v>Sara Weidler</v>
      </c>
      <c r="AB18" s="2" t="str">
        <f t="shared" si="13"/>
        <v>mrk21</v>
      </c>
      <c r="AC18" s="2" t="str">
        <f t="shared" si="14"/>
        <v>Transverse Insurance Company</v>
      </c>
      <c r="AD18" s="2" t="str">
        <f t="shared" si="1"/>
        <v>Active</v>
      </c>
      <c r="AE18" s="2" t="str">
        <f t="shared" si="15"/>
        <v>rsk57</v>
      </c>
      <c r="AF18" s="2" t="str">
        <f t="shared" si="16"/>
        <v>Transverse Insurance Company</v>
      </c>
      <c r="AG18" s="2" t="str">
        <f>("")</f>
        <v/>
      </c>
      <c r="AH18" s="2" t="str">
        <f>("")</f>
        <v/>
      </c>
      <c r="AI18" s="2" t="str">
        <f t="shared" si="2"/>
        <v>Beacon</v>
      </c>
      <c r="AJ18" s="2" t="str">
        <f>("Beacon GA UW")</f>
        <v>Beacon GA UW</v>
      </c>
      <c r="AK18" s="2" t="str">
        <f t="shared" si="3"/>
        <v xml:space="preserve"> </v>
      </c>
      <c r="AL18" s="2" t="str">
        <f t="shared" si="4"/>
        <v>Beacon Aviation Insurance Services - FL</v>
      </c>
      <c r="AM18" s="2" t="str">
        <f>("Deborah Stafford")</f>
        <v>Deborah Stafford</v>
      </c>
      <c r="AN18" s="2" t="str">
        <f t="shared" si="6"/>
        <v xml:space="preserve"> </v>
      </c>
      <c r="AO18" s="2" t="str">
        <f t="shared" si="7"/>
        <v xml:space="preserve">Beacon Aviation Insurance Services </v>
      </c>
      <c r="AP18" s="2" t="str">
        <f t="shared" si="12"/>
        <v>Aircraft</v>
      </c>
      <c r="AQ18" s="2" t="str">
        <f t="shared" si="17"/>
        <v>Non-Commercial</v>
      </c>
      <c r="AR18" s="2" t="str">
        <f t="shared" si="19"/>
        <v>New Business</v>
      </c>
      <c r="AS18" s="2" t="str">
        <f t="shared" si="8"/>
        <v>New Business</v>
      </c>
      <c r="AT18" s="2"/>
      <c r="AU18" s="2"/>
      <c r="AV18" s="2" t="str">
        <f>("GA")</f>
        <v>GA</v>
      </c>
      <c r="AW18" s="3">
        <v>44974</v>
      </c>
      <c r="AX18" s="3">
        <v>45048</v>
      </c>
      <c r="AY18" s="3">
        <v>45048</v>
      </c>
      <c r="AZ18" s="2" t="b">
        <v>0</v>
      </c>
      <c r="BA18" s="2" t="b">
        <v>0</v>
      </c>
      <c r="BB18" s="2" t="str">
        <f t="shared" si="9"/>
        <v>Brokerage</v>
      </c>
      <c r="BC18" s="2" t="b">
        <v>0</v>
      </c>
      <c r="BD18" s="2" t="str">
        <f t="shared" si="10"/>
        <v>We File</v>
      </c>
      <c r="BE18" s="2" t="str">
        <f>("14871 Pioneer Trail")</f>
        <v>14871 Pioneer Trail</v>
      </c>
      <c r="BF18" s="2" t="str">
        <f>("55347")</f>
        <v>55347</v>
      </c>
      <c r="BG18" s="4">
        <v>0</v>
      </c>
      <c r="BH18" s="2">
        <v>10</v>
      </c>
      <c r="BI18" s="4">
        <v>0</v>
      </c>
      <c r="BJ18" s="4">
        <v>0</v>
      </c>
      <c r="BK18" s="4">
        <v>0</v>
      </c>
      <c r="BL18" s="4">
        <v>4885.2</v>
      </c>
      <c r="BM18" s="2"/>
      <c r="BN18" s="2" t="str">
        <f t="shared" si="11"/>
        <v>Non Admitted</v>
      </c>
      <c r="BO18" s="2" t="b">
        <v>0</v>
      </c>
      <c r="BP18" s="2" t="b">
        <v>0</v>
      </c>
      <c r="BQ18" s="2"/>
      <c r="BR18" s="2" t="str">
        <f>("Kathleen")</f>
        <v>Kathleen</v>
      </c>
      <c r="BS18" s="2" t="str">
        <f t="shared" si="18"/>
        <v>Active</v>
      </c>
      <c r="BT18" s="3">
        <v>45051</v>
      </c>
    </row>
    <row r="19" spans="1:72" x14ac:dyDescent="0.25">
      <c r="A19" s="2" t="str">
        <f>("078203")</f>
        <v>078203</v>
      </c>
      <c r="B19" s="2" t="str">
        <f>("TSBAAC 0000002-00")</f>
        <v>TSBAAC 0000002-00</v>
      </c>
      <c r="C19" s="2" t="str">
        <f>("3D Aviation Inc")</f>
        <v>3D Aviation Inc</v>
      </c>
      <c r="D19" s="2" t="str">
        <f>("")</f>
        <v/>
      </c>
      <c r="E19" s="2" t="str">
        <f>("")</f>
        <v/>
      </c>
      <c r="F19" s="2" t="str">
        <f>("Endorsement")</f>
        <v>Endorsement</v>
      </c>
      <c r="G19" s="2" t="b">
        <v>0</v>
      </c>
      <c r="H19" s="2" t="str">
        <f>("INV45246")</f>
        <v>INV45246</v>
      </c>
      <c r="I19" s="3">
        <v>45051</v>
      </c>
      <c r="J19" s="3">
        <v>44818</v>
      </c>
      <c r="K19" s="3">
        <v>45183</v>
      </c>
      <c r="L19" s="2">
        <v>25</v>
      </c>
      <c r="M19" s="2">
        <v>15</v>
      </c>
      <c r="N19" s="4">
        <v>3091.69</v>
      </c>
      <c r="O19" s="4">
        <v>0</v>
      </c>
      <c r="P19" s="4">
        <v>0</v>
      </c>
      <c r="Q19" s="4">
        <v>309.17</v>
      </c>
      <c r="R19" s="2">
        <v>10</v>
      </c>
      <c r="S19" s="4">
        <v>772.92</v>
      </c>
      <c r="T19" s="4">
        <v>463.75</v>
      </c>
      <c r="U19" s="2" t="b">
        <v>0</v>
      </c>
      <c r="V19" s="2">
        <v>100</v>
      </c>
      <c r="W19" s="2" t="str">
        <f>("BEA1541")</f>
        <v>BEA1541</v>
      </c>
      <c r="X19" s="2" t="str">
        <f>("Plimsoll Specialty Markets LLC")</f>
        <v>Plimsoll Specialty Markets LLC</v>
      </c>
      <c r="Y19" s="2" t="str">
        <f>("GA - Atlanta")</f>
        <v>GA - Atlanta</v>
      </c>
      <c r="Z19" s="2" t="str">
        <f t="shared" si="0"/>
        <v>Active</v>
      </c>
      <c r="AA19" s="2" t="str">
        <f>("Dave McKenzie")</f>
        <v>Dave McKenzie</v>
      </c>
      <c r="AB19" s="2" t="str">
        <f>("mrk22")</f>
        <v>mrk22</v>
      </c>
      <c r="AC19" s="2" t="str">
        <f>("Transverse Specialty Insurance Company")</f>
        <v>Transverse Specialty Insurance Company</v>
      </c>
      <c r="AD19" s="2" t="str">
        <f t="shared" si="1"/>
        <v>Active</v>
      </c>
      <c r="AE19" s="2" t="str">
        <f>("rsk58")</f>
        <v>rsk58</v>
      </c>
      <c r="AF19" s="2" t="str">
        <f>("Transverse Specialty Insurance Company")</f>
        <v>Transverse Specialty Insurance Company</v>
      </c>
      <c r="AG19" s="2" t="str">
        <f>("")</f>
        <v/>
      </c>
      <c r="AH19" s="2" t="str">
        <f>("")</f>
        <v/>
      </c>
      <c r="AI19" s="2" t="str">
        <f t="shared" si="2"/>
        <v>Beacon</v>
      </c>
      <c r="AJ19" s="2" t="str">
        <f>("Thomas Hollinger")</f>
        <v>Thomas Hollinger</v>
      </c>
      <c r="AK19" s="2" t="str">
        <f t="shared" si="3"/>
        <v xml:space="preserve"> </v>
      </c>
      <c r="AL19" s="2" t="str">
        <f t="shared" si="4"/>
        <v>Beacon Aviation Insurance Services - FL</v>
      </c>
      <c r="AM19" s="2" t="str">
        <f>("Deborah Stafford")</f>
        <v>Deborah Stafford</v>
      </c>
      <c r="AN19" s="2" t="str">
        <f t="shared" si="6"/>
        <v xml:space="preserve"> </v>
      </c>
      <c r="AO19" s="2" t="str">
        <f t="shared" si="7"/>
        <v xml:space="preserve">Beacon Aviation Insurance Services </v>
      </c>
      <c r="AP19" s="2" t="str">
        <f t="shared" si="12"/>
        <v>Aircraft</v>
      </c>
      <c r="AQ19" s="2" t="str">
        <f>("Commercial")</f>
        <v>Commercial</v>
      </c>
      <c r="AR19" s="2" t="str">
        <f>("Endorsement")</f>
        <v>Endorsement</v>
      </c>
      <c r="AS19" s="2" t="str">
        <f t="shared" si="8"/>
        <v>New Business</v>
      </c>
      <c r="AT19" s="2"/>
      <c r="AU19" s="2"/>
      <c r="AV19" s="2" t="str">
        <f>("NY")</f>
        <v>NY</v>
      </c>
      <c r="AW19" s="3">
        <v>44818</v>
      </c>
      <c r="AX19" s="3">
        <v>44818</v>
      </c>
      <c r="AY19" s="3">
        <v>45069</v>
      </c>
      <c r="AZ19" s="2" t="b">
        <v>0</v>
      </c>
      <c r="BA19" s="2" t="b">
        <v>0</v>
      </c>
      <c r="BB19" s="2" t="str">
        <f t="shared" si="9"/>
        <v>Brokerage</v>
      </c>
      <c r="BC19" s="2" t="b">
        <v>0</v>
      </c>
      <c r="BD19" s="2" t="str">
        <f t="shared" si="10"/>
        <v>We File</v>
      </c>
      <c r="BE19" s="2" t="str">
        <f>("3330 Cumberland Blvd")</f>
        <v>3330 Cumberland Blvd</v>
      </c>
      <c r="BF19" s="2" t="str">
        <f>("30339")</f>
        <v>30339</v>
      </c>
      <c r="BG19" s="4">
        <v>0</v>
      </c>
      <c r="BH19" s="2">
        <v>10</v>
      </c>
      <c r="BI19" s="4">
        <v>0</v>
      </c>
      <c r="BJ19" s="4">
        <v>0</v>
      </c>
      <c r="BK19" s="4">
        <v>0</v>
      </c>
      <c r="BL19" s="4">
        <v>309.17</v>
      </c>
      <c r="BM19" s="2"/>
      <c r="BN19" s="2" t="str">
        <f t="shared" si="11"/>
        <v>Non Admitted</v>
      </c>
      <c r="BO19" s="2" t="b">
        <v>0</v>
      </c>
      <c r="BP19" s="2" t="b">
        <v>0</v>
      </c>
      <c r="BQ19" s="2"/>
      <c r="BR19" s="2" t="str">
        <f>("E FARMINGDALE")</f>
        <v>E FARMINGDALE</v>
      </c>
      <c r="BS19" s="2" t="str">
        <f t="shared" si="18"/>
        <v>Active</v>
      </c>
      <c r="BT19" s="3">
        <v>45051</v>
      </c>
    </row>
    <row r="20" spans="1:72" x14ac:dyDescent="0.25">
      <c r="A20" s="2" t="str">
        <f>("089937")</f>
        <v>089937</v>
      </c>
      <c r="B20" s="2" t="str">
        <f>("TIBAAN 0000095-00")</f>
        <v>TIBAAN 0000095-00</v>
      </c>
      <c r="C20" s="2" t="str">
        <f>("J.E.A.R. Aviation Inc")</f>
        <v>J.E.A.R. Aviation Inc</v>
      </c>
      <c r="D20" s="2" t="str">
        <f>("")</f>
        <v/>
      </c>
      <c r="E20" s="2" t="str">
        <f>("")</f>
        <v/>
      </c>
      <c r="F20" s="2" t="str">
        <f>("")</f>
        <v/>
      </c>
      <c r="G20" s="2" t="b">
        <v>0</v>
      </c>
      <c r="H20" s="2" t="str">
        <f>("INV43498")</f>
        <v>INV43498</v>
      </c>
      <c r="I20" s="3">
        <v>45052</v>
      </c>
      <c r="J20" s="3">
        <v>45052</v>
      </c>
      <c r="K20" s="3">
        <v>45418</v>
      </c>
      <c r="L20" s="2">
        <v>25</v>
      </c>
      <c r="M20" s="2">
        <v>15</v>
      </c>
      <c r="N20" s="4">
        <v>43182</v>
      </c>
      <c r="O20" s="4">
        <v>0</v>
      </c>
      <c r="P20" s="4">
        <v>0</v>
      </c>
      <c r="Q20" s="4">
        <v>4318.2</v>
      </c>
      <c r="R20" s="2">
        <v>10</v>
      </c>
      <c r="S20" s="4">
        <v>10795.5</v>
      </c>
      <c r="T20" s="4">
        <v>6477.3</v>
      </c>
      <c r="U20" s="2" t="b">
        <v>0</v>
      </c>
      <c r="V20" s="2">
        <v>100</v>
      </c>
      <c r="W20" s="2" t="str">
        <f>("BEA1131")</f>
        <v>BEA1131</v>
      </c>
      <c r="X20" s="2" t="str">
        <f>("Travers &amp; Associates")</f>
        <v>Travers &amp; Associates</v>
      </c>
      <c r="Y20" s="2" t="str">
        <f>("MO - Saint Louis")</f>
        <v>MO - Saint Louis</v>
      </c>
      <c r="Z20" s="2" t="str">
        <f t="shared" si="0"/>
        <v>Active</v>
      </c>
      <c r="AA20" s="2" t="str">
        <f>("Kathleen Leatherman")</f>
        <v>Kathleen Leatherman</v>
      </c>
      <c r="AB20" s="2" t="str">
        <f t="shared" ref="AB20:AB46" si="20">("mrk21")</f>
        <v>mrk21</v>
      </c>
      <c r="AC20" s="2" t="str">
        <f t="shared" ref="AC20:AC46" si="21">("Transverse Insurance Company")</f>
        <v>Transverse Insurance Company</v>
      </c>
      <c r="AD20" s="2" t="str">
        <f t="shared" si="1"/>
        <v>Active</v>
      </c>
      <c r="AE20" s="2" t="str">
        <f t="shared" ref="AE20:AE46" si="22">("rsk57")</f>
        <v>rsk57</v>
      </c>
      <c r="AF20" s="2" t="str">
        <f t="shared" ref="AF20:AF46" si="23">("Transverse Insurance Company")</f>
        <v>Transverse Insurance Company</v>
      </c>
      <c r="AG20" s="2" t="str">
        <f>("")</f>
        <v/>
      </c>
      <c r="AH20" s="2" t="str">
        <f>("")</f>
        <v/>
      </c>
      <c r="AI20" s="2" t="str">
        <f t="shared" si="2"/>
        <v>Beacon</v>
      </c>
      <c r="AJ20" s="2" t="str">
        <f>("Britt Kral")</f>
        <v>Britt Kral</v>
      </c>
      <c r="AK20" s="2" t="str">
        <f t="shared" si="3"/>
        <v xml:space="preserve"> </v>
      </c>
      <c r="AL20" s="2" t="str">
        <f t="shared" si="4"/>
        <v>Beacon Aviation Insurance Services - FL</v>
      </c>
      <c r="AM20" s="2" t="str">
        <f>("Deborah Stafford")</f>
        <v>Deborah Stafford</v>
      </c>
      <c r="AN20" s="2" t="str">
        <f t="shared" si="6"/>
        <v xml:space="preserve"> </v>
      </c>
      <c r="AO20" s="2" t="str">
        <f t="shared" si="7"/>
        <v xml:space="preserve">Beacon Aviation Insurance Services </v>
      </c>
      <c r="AP20" s="2" t="str">
        <f t="shared" si="12"/>
        <v>Aircraft</v>
      </c>
      <c r="AQ20" s="2" t="str">
        <f t="shared" ref="AQ20:AQ46" si="24">("Non-Commercial")</f>
        <v>Non-Commercial</v>
      </c>
      <c r="AR20" s="2" t="str">
        <f>("New Business")</f>
        <v>New Business</v>
      </c>
      <c r="AS20" s="2" t="str">
        <f t="shared" si="8"/>
        <v>New Business</v>
      </c>
      <c r="AT20" s="2"/>
      <c r="AU20" s="2"/>
      <c r="AV20" s="2" t="str">
        <f>("TX")</f>
        <v>TX</v>
      </c>
      <c r="AW20" s="3">
        <v>44960</v>
      </c>
      <c r="AX20" s="3">
        <v>45055</v>
      </c>
      <c r="AY20" s="3">
        <v>45055</v>
      </c>
      <c r="AZ20" s="2" t="b">
        <v>0</v>
      </c>
      <c r="BA20" s="2" t="b">
        <v>0</v>
      </c>
      <c r="BB20" s="2" t="str">
        <f t="shared" si="9"/>
        <v>Brokerage</v>
      </c>
      <c r="BC20" s="2" t="b">
        <v>0</v>
      </c>
      <c r="BD20" s="2" t="str">
        <f t="shared" si="10"/>
        <v>We File</v>
      </c>
      <c r="BE20" s="2" t="str">
        <f>("PO Box 220519")</f>
        <v>PO Box 220519</v>
      </c>
      <c r="BF20" s="2" t="str">
        <f>("63122")</f>
        <v>63122</v>
      </c>
      <c r="BG20" s="4">
        <v>0</v>
      </c>
      <c r="BH20" s="2">
        <v>10</v>
      </c>
      <c r="BI20" s="4">
        <v>0</v>
      </c>
      <c r="BJ20" s="4">
        <v>0</v>
      </c>
      <c r="BK20" s="4">
        <v>0</v>
      </c>
      <c r="BL20" s="4">
        <v>4318.2</v>
      </c>
      <c r="BM20" s="2"/>
      <c r="BN20" s="2" t="str">
        <f t="shared" si="11"/>
        <v>Non Admitted</v>
      </c>
      <c r="BO20" s="2" t="b">
        <v>0</v>
      </c>
      <c r="BP20" s="2" t="b">
        <v>0</v>
      </c>
      <c r="BQ20" s="2"/>
      <c r="BR20" s="2" t="str">
        <f>("El Paso")</f>
        <v>El Paso</v>
      </c>
      <c r="BS20" s="2" t="str">
        <f t="shared" si="18"/>
        <v>Active</v>
      </c>
      <c r="BT20" s="3">
        <v>45052</v>
      </c>
    </row>
    <row r="21" spans="1:72" x14ac:dyDescent="0.25">
      <c r="A21" s="2" t="str">
        <f>("101378")</f>
        <v>101378</v>
      </c>
      <c r="B21" s="2" t="str">
        <f>("TIBAAN 0009004-00")</f>
        <v>TIBAAN 0009004-00</v>
      </c>
      <c r="C21" s="2" t="str">
        <f>("Alberta M. Smith")</f>
        <v>Alberta M. Smith</v>
      </c>
      <c r="D21" s="2" t="str">
        <f>("")</f>
        <v/>
      </c>
      <c r="E21" s="2" t="str">
        <f>("")</f>
        <v/>
      </c>
      <c r="F21" s="2" t="str">
        <f>("")</f>
        <v/>
      </c>
      <c r="G21" s="2" t="b">
        <v>0</v>
      </c>
      <c r="H21" s="2" t="str">
        <f>("INV45391")</f>
        <v>INV45391</v>
      </c>
      <c r="I21" s="3">
        <v>45052</v>
      </c>
      <c r="J21" s="3">
        <v>45052</v>
      </c>
      <c r="K21" s="3">
        <v>45418</v>
      </c>
      <c r="L21" s="2">
        <v>25</v>
      </c>
      <c r="M21" s="2">
        <v>15</v>
      </c>
      <c r="N21" s="4">
        <v>1728</v>
      </c>
      <c r="O21" s="4">
        <v>0</v>
      </c>
      <c r="P21" s="4">
        <v>0</v>
      </c>
      <c r="Q21" s="4">
        <v>172.8</v>
      </c>
      <c r="R21" s="2">
        <v>10</v>
      </c>
      <c r="S21" s="4">
        <v>432</v>
      </c>
      <c r="T21" s="4">
        <v>259.2</v>
      </c>
      <c r="U21" s="2" t="b">
        <v>0</v>
      </c>
      <c r="V21" s="2">
        <v>100</v>
      </c>
      <c r="W21" s="2" t="str">
        <f>("BEA1131")</f>
        <v>BEA1131</v>
      </c>
      <c r="X21" s="2" t="str">
        <f>("Travers &amp; Associates")</f>
        <v>Travers &amp; Associates</v>
      </c>
      <c r="Y21" s="2" t="str">
        <f>("MO - Saint Louis")</f>
        <v>MO - Saint Louis</v>
      </c>
      <c r="Z21" s="2" t="str">
        <f t="shared" si="0"/>
        <v>Active</v>
      </c>
      <c r="AA21" s="2" t="str">
        <f>("Kathryn Forbes")</f>
        <v>Kathryn Forbes</v>
      </c>
      <c r="AB21" s="2" t="str">
        <f t="shared" si="20"/>
        <v>mrk21</v>
      </c>
      <c r="AC21" s="2" t="str">
        <f t="shared" si="21"/>
        <v>Transverse Insurance Company</v>
      </c>
      <c r="AD21" s="2" t="str">
        <f t="shared" si="1"/>
        <v>Active</v>
      </c>
      <c r="AE21" s="2" t="str">
        <f t="shared" si="22"/>
        <v>rsk57</v>
      </c>
      <c r="AF21" s="2" t="str">
        <f t="shared" si="23"/>
        <v>Transverse Insurance Company</v>
      </c>
      <c r="AG21" s="2" t="str">
        <f>("")</f>
        <v/>
      </c>
      <c r="AH21" s="2" t="str">
        <f>("")</f>
        <v/>
      </c>
      <c r="AI21" s="2" t="str">
        <f t="shared" si="2"/>
        <v>Beacon</v>
      </c>
      <c r="AJ21" s="2" t="str">
        <f>("Britt Kral")</f>
        <v>Britt Kral</v>
      </c>
      <c r="AK21" s="2" t="str">
        <f t="shared" si="3"/>
        <v xml:space="preserve"> </v>
      </c>
      <c r="AL21" s="2" t="str">
        <f t="shared" si="4"/>
        <v>Beacon Aviation Insurance Services - FL</v>
      </c>
      <c r="AM21" s="2" t="str">
        <f>("Sharon Woods")</f>
        <v>Sharon Woods</v>
      </c>
      <c r="AN21" s="2" t="str">
        <f t="shared" si="6"/>
        <v xml:space="preserve"> </v>
      </c>
      <c r="AO21" s="2" t="str">
        <f t="shared" si="7"/>
        <v xml:space="preserve">Beacon Aviation Insurance Services </v>
      </c>
      <c r="AP21" s="2" t="str">
        <f t="shared" si="12"/>
        <v>Aircraft</v>
      </c>
      <c r="AQ21" s="2" t="str">
        <f t="shared" si="24"/>
        <v>Non-Commercial</v>
      </c>
      <c r="AR21" s="2" t="str">
        <f>("New Business")</f>
        <v>New Business</v>
      </c>
      <c r="AS21" s="2" t="str">
        <f t="shared" si="8"/>
        <v>New Business</v>
      </c>
      <c r="AT21" s="2"/>
      <c r="AU21" s="2"/>
      <c r="AV21" s="2" t="str">
        <f>("ID")</f>
        <v>ID</v>
      </c>
      <c r="AW21" s="3">
        <v>45069</v>
      </c>
      <c r="AX21" s="3">
        <v>45069</v>
      </c>
      <c r="AY21" s="3">
        <v>45069</v>
      </c>
      <c r="AZ21" s="2" t="b">
        <v>0</v>
      </c>
      <c r="BA21" s="2" t="b">
        <v>0</v>
      </c>
      <c r="BB21" s="2" t="str">
        <f t="shared" si="9"/>
        <v>Brokerage</v>
      </c>
      <c r="BC21" s="2" t="b">
        <v>0</v>
      </c>
      <c r="BD21" s="2" t="str">
        <f t="shared" si="10"/>
        <v>We File</v>
      </c>
      <c r="BE21" s="2" t="str">
        <f>("PO Box 220519")</f>
        <v>PO Box 220519</v>
      </c>
      <c r="BF21" s="2" t="str">
        <f>("63122")</f>
        <v>63122</v>
      </c>
      <c r="BG21" s="4">
        <v>0</v>
      </c>
      <c r="BH21" s="2">
        <v>10</v>
      </c>
      <c r="BI21" s="4">
        <v>0</v>
      </c>
      <c r="BJ21" s="4">
        <v>0</v>
      </c>
      <c r="BK21" s="4">
        <v>0</v>
      </c>
      <c r="BL21" s="4">
        <v>172.8</v>
      </c>
      <c r="BM21" s="2"/>
      <c r="BN21" s="2" t="str">
        <f t="shared" si="11"/>
        <v>Non Admitted</v>
      </c>
      <c r="BO21" s="2" t="b">
        <v>0</v>
      </c>
      <c r="BP21" s="2" t="b">
        <v>0</v>
      </c>
      <c r="BQ21" s="2"/>
      <c r="BR21" s="2" t="str">
        <f>("Payette")</f>
        <v>Payette</v>
      </c>
      <c r="BS21" s="2" t="str">
        <f t="shared" si="18"/>
        <v>Active</v>
      </c>
      <c r="BT21" s="3">
        <v>45052</v>
      </c>
    </row>
    <row r="22" spans="1:72" x14ac:dyDescent="0.25">
      <c r="A22" s="2" t="str">
        <f>("096642")</f>
        <v>096642</v>
      </c>
      <c r="B22" s="2" t="str">
        <f>("TIBAAN 0009001-00")</f>
        <v>TIBAAN 0009001-00</v>
      </c>
      <c r="C22" s="2" t="str">
        <f>("Waytack LLC")</f>
        <v>Waytack LLC</v>
      </c>
      <c r="D22" s="2" t="str">
        <f>("")</f>
        <v/>
      </c>
      <c r="E22" s="2" t="str">
        <f>("")</f>
        <v/>
      </c>
      <c r="F22" s="2" t="str">
        <f>("")</f>
        <v/>
      </c>
      <c r="G22" s="2" t="b">
        <v>0</v>
      </c>
      <c r="H22" s="2" t="str">
        <f>("INV46607")</f>
        <v>INV46607</v>
      </c>
      <c r="I22" s="3">
        <v>45057</v>
      </c>
      <c r="J22" s="3">
        <v>45057</v>
      </c>
      <c r="K22" s="3">
        <v>45423</v>
      </c>
      <c r="L22" s="2">
        <v>25</v>
      </c>
      <c r="M22" s="2">
        <v>15</v>
      </c>
      <c r="N22" s="4">
        <v>11693</v>
      </c>
      <c r="O22" s="4">
        <v>0</v>
      </c>
      <c r="P22" s="4">
        <v>0</v>
      </c>
      <c r="Q22" s="4">
        <v>1169.3</v>
      </c>
      <c r="R22" s="2">
        <v>10</v>
      </c>
      <c r="S22" s="4">
        <v>2923.25</v>
      </c>
      <c r="T22" s="4">
        <v>1753.95</v>
      </c>
      <c r="U22" s="2" t="b">
        <v>0</v>
      </c>
      <c r="V22" s="2">
        <v>100</v>
      </c>
      <c r="W22" s="2" t="str">
        <f>("BEA1035")</f>
        <v>BEA1035</v>
      </c>
      <c r="X22" s="2" t="str">
        <f>("Halton Hall &amp; Associates, Inc.")</f>
        <v>Halton Hall &amp; Associates, Inc.</v>
      </c>
      <c r="Y22" s="2" t="str">
        <f>("TX - Roanoke")</f>
        <v>TX - Roanoke</v>
      </c>
      <c r="Z22" s="2" t="str">
        <f t="shared" si="0"/>
        <v>Active</v>
      </c>
      <c r="AA22" s="2" t="str">
        <f>("Courtney Pena")</f>
        <v>Courtney Pena</v>
      </c>
      <c r="AB22" s="2" t="str">
        <f t="shared" si="20"/>
        <v>mrk21</v>
      </c>
      <c r="AC22" s="2" t="str">
        <f t="shared" si="21"/>
        <v>Transverse Insurance Company</v>
      </c>
      <c r="AD22" s="2" t="str">
        <f t="shared" si="1"/>
        <v>Active</v>
      </c>
      <c r="AE22" s="2" t="str">
        <f t="shared" si="22"/>
        <v>rsk57</v>
      </c>
      <c r="AF22" s="2" t="str">
        <f t="shared" si="23"/>
        <v>Transverse Insurance Company</v>
      </c>
      <c r="AG22" s="2" t="str">
        <f>("")</f>
        <v/>
      </c>
      <c r="AH22" s="2" t="str">
        <f>("")</f>
        <v/>
      </c>
      <c r="AI22" s="2" t="str">
        <f t="shared" si="2"/>
        <v>Beacon</v>
      </c>
      <c r="AJ22" s="2" t="str">
        <f>("Kate Rouker")</f>
        <v>Kate Rouker</v>
      </c>
      <c r="AK22" s="2" t="str">
        <f t="shared" si="3"/>
        <v xml:space="preserve"> </v>
      </c>
      <c r="AL22" s="2" t="str">
        <f t="shared" si="4"/>
        <v>Beacon Aviation Insurance Services - FL</v>
      </c>
      <c r="AM22" s="2" t="str">
        <f>("Deborah Stafford")</f>
        <v>Deborah Stafford</v>
      </c>
      <c r="AN22" s="2" t="str">
        <f t="shared" si="6"/>
        <v xml:space="preserve"> </v>
      </c>
      <c r="AO22" s="2" t="str">
        <f t="shared" si="7"/>
        <v xml:space="preserve">Beacon Aviation Insurance Services </v>
      </c>
      <c r="AP22" s="2" t="str">
        <f t="shared" si="12"/>
        <v>Aircraft</v>
      </c>
      <c r="AQ22" s="2" t="str">
        <f t="shared" si="24"/>
        <v>Non-Commercial</v>
      </c>
      <c r="AR22" s="2" t="str">
        <f>("New Business")</f>
        <v>New Business</v>
      </c>
      <c r="AS22" s="2" t="str">
        <f t="shared" si="8"/>
        <v>New Business</v>
      </c>
      <c r="AT22" s="2"/>
      <c r="AU22" s="2"/>
      <c r="AV22" s="2" t="str">
        <f>("AR")</f>
        <v>AR</v>
      </c>
      <c r="AW22" s="3">
        <v>45021</v>
      </c>
      <c r="AX22" s="3">
        <v>45077</v>
      </c>
      <c r="AY22" s="3">
        <v>45077</v>
      </c>
      <c r="AZ22" s="2" t="b">
        <v>0</v>
      </c>
      <c r="BA22" s="2" t="b">
        <v>0</v>
      </c>
      <c r="BB22" s="2" t="str">
        <f t="shared" si="9"/>
        <v>Brokerage</v>
      </c>
      <c r="BC22" s="2" t="b">
        <v>0</v>
      </c>
      <c r="BD22" s="2" t="str">
        <f t="shared" si="10"/>
        <v>We File</v>
      </c>
      <c r="BE22" s="2" t="str">
        <f>("310 Oak Street")</f>
        <v>310 Oak Street</v>
      </c>
      <c r="BF22" s="2" t="str">
        <f>("76262")</f>
        <v>76262</v>
      </c>
      <c r="BG22" s="4">
        <v>0</v>
      </c>
      <c r="BH22" s="2">
        <v>10</v>
      </c>
      <c r="BI22" s="4">
        <v>0</v>
      </c>
      <c r="BJ22" s="4">
        <v>0</v>
      </c>
      <c r="BK22" s="4">
        <v>0</v>
      </c>
      <c r="BL22" s="4">
        <v>1169.3</v>
      </c>
      <c r="BM22" s="2"/>
      <c r="BN22" s="2" t="str">
        <f t="shared" si="11"/>
        <v>Non Admitted</v>
      </c>
      <c r="BO22" s="2" t="b">
        <v>0</v>
      </c>
      <c r="BP22" s="2" t="b">
        <v>0</v>
      </c>
      <c r="BQ22" s="2"/>
      <c r="BR22" s="2" t="str">
        <f>("Bryant")</f>
        <v>Bryant</v>
      </c>
      <c r="BS22" s="2" t="str">
        <f t="shared" si="18"/>
        <v>Active</v>
      </c>
      <c r="BT22" s="3">
        <v>45057</v>
      </c>
    </row>
    <row r="23" spans="1:72" x14ac:dyDescent="0.25">
      <c r="A23" s="2" t="str">
        <f>("101572")</f>
        <v>101572</v>
      </c>
      <c r="B23" s="2" t="str">
        <f>("TIBAAN 0009007-00")</f>
        <v>TIBAAN 0009007-00</v>
      </c>
      <c r="C23" s="2" t="str">
        <f>("Richard Harder")</f>
        <v>Richard Harder</v>
      </c>
      <c r="D23" s="2" t="str">
        <f>("")</f>
        <v/>
      </c>
      <c r="E23" s="2" t="str">
        <f>("")</f>
        <v/>
      </c>
      <c r="F23" s="2" t="str">
        <f>("")</f>
        <v/>
      </c>
      <c r="G23" s="2" t="b">
        <v>0</v>
      </c>
      <c r="H23" s="2" t="str">
        <f>("INV46044")</f>
        <v>INV46044</v>
      </c>
      <c r="I23" s="3">
        <v>45057</v>
      </c>
      <c r="J23" s="3">
        <v>45057</v>
      </c>
      <c r="K23" s="3">
        <v>45423</v>
      </c>
      <c r="L23" s="2">
        <v>25</v>
      </c>
      <c r="M23" s="2">
        <v>15</v>
      </c>
      <c r="N23" s="4">
        <v>1203</v>
      </c>
      <c r="O23" s="4">
        <v>0</v>
      </c>
      <c r="P23" s="4">
        <v>0</v>
      </c>
      <c r="Q23" s="4">
        <v>120.3</v>
      </c>
      <c r="R23" s="2">
        <v>10</v>
      </c>
      <c r="S23" s="4">
        <v>300.75</v>
      </c>
      <c r="T23" s="4">
        <v>180.45</v>
      </c>
      <c r="U23" s="2" t="b">
        <v>0</v>
      </c>
      <c r="V23" s="2">
        <v>100</v>
      </c>
      <c r="W23" s="2" t="str">
        <f>("BEA1131")</f>
        <v>BEA1131</v>
      </c>
      <c r="X23" s="2" t="str">
        <f>("Travers &amp; Associates")</f>
        <v>Travers &amp; Associates</v>
      </c>
      <c r="Y23" s="2" t="str">
        <f>("MO - Saint Louis")</f>
        <v>MO - Saint Louis</v>
      </c>
      <c r="Z23" s="2" t="str">
        <f t="shared" si="0"/>
        <v>Active</v>
      </c>
      <c r="AA23" s="2" t="str">
        <f>("Cameron Boykin")</f>
        <v>Cameron Boykin</v>
      </c>
      <c r="AB23" s="2" t="str">
        <f t="shared" si="20"/>
        <v>mrk21</v>
      </c>
      <c r="AC23" s="2" t="str">
        <f t="shared" si="21"/>
        <v>Transverse Insurance Company</v>
      </c>
      <c r="AD23" s="2" t="str">
        <f t="shared" si="1"/>
        <v>Active</v>
      </c>
      <c r="AE23" s="2" t="str">
        <f t="shared" si="22"/>
        <v>rsk57</v>
      </c>
      <c r="AF23" s="2" t="str">
        <f t="shared" si="23"/>
        <v>Transverse Insurance Company</v>
      </c>
      <c r="AG23" s="2" t="str">
        <f>("")</f>
        <v/>
      </c>
      <c r="AH23" s="2" t="str">
        <f>("")</f>
        <v/>
      </c>
      <c r="AI23" s="2" t="str">
        <f t="shared" si="2"/>
        <v>Beacon</v>
      </c>
      <c r="AJ23" s="2" t="str">
        <f>("Britt Kral")</f>
        <v>Britt Kral</v>
      </c>
      <c r="AK23" s="2" t="str">
        <f t="shared" si="3"/>
        <v xml:space="preserve"> </v>
      </c>
      <c r="AL23" s="2" t="str">
        <f t="shared" si="4"/>
        <v>Beacon Aviation Insurance Services - FL</v>
      </c>
      <c r="AM23" s="2" t="str">
        <f>("Sharon Woods")</f>
        <v>Sharon Woods</v>
      </c>
      <c r="AN23" s="2" t="str">
        <f t="shared" si="6"/>
        <v xml:space="preserve"> </v>
      </c>
      <c r="AO23" s="2" t="str">
        <f t="shared" si="7"/>
        <v xml:space="preserve">Beacon Aviation Insurance Services </v>
      </c>
      <c r="AP23" s="2" t="str">
        <f t="shared" si="12"/>
        <v>Aircraft</v>
      </c>
      <c r="AQ23" s="2" t="str">
        <f t="shared" si="24"/>
        <v>Non-Commercial</v>
      </c>
      <c r="AR23" s="2" t="str">
        <f>("New Business")</f>
        <v>New Business</v>
      </c>
      <c r="AS23" s="2" t="str">
        <f t="shared" si="8"/>
        <v>New Business</v>
      </c>
      <c r="AT23" s="2"/>
      <c r="AU23" s="2"/>
      <c r="AV23" s="2" t="str">
        <f>("PA")</f>
        <v>PA</v>
      </c>
      <c r="AW23" s="3">
        <v>45070</v>
      </c>
      <c r="AX23" s="3">
        <v>45071</v>
      </c>
      <c r="AY23" s="3">
        <v>45071</v>
      </c>
      <c r="AZ23" s="2" t="b">
        <v>0</v>
      </c>
      <c r="BA23" s="2" t="b">
        <v>0</v>
      </c>
      <c r="BB23" s="2" t="str">
        <f t="shared" si="9"/>
        <v>Brokerage</v>
      </c>
      <c r="BC23" s="2" t="b">
        <v>0</v>
      </c>
      <c r="BD23" s="2" t="str">
        <f t="shared" si="10"/>
        <v>We File</v>
      </c>
      <c r="BE23" s="2" t="str">
        <f>("PO Box 220519")</f>
        <v>PO Box 220519</v>
      </c>
      <c r="BF23" s="2" t="str">
        <f>("63122")</f>
        <v>63122</v>
      </c>
      <c r="BG23" s="4">
        <v>0</v>
      </c>
      <c r="BH23" s="2">
        <v>10</v>
      </c>
      <c r="BI23" s="4">
        <v>0</v>
      </c>
      <c r="BJ23" s="4">
        <v>0</v>
      </c>
      <c r="BK23" s="4">
        <v>0</v>
      </c>
      <c r="BL23" s="4">
        <v>120.3</v>
      </c>
      <c r="BM23" s="2"/>
      <c r="BN23" s="2" t="str">
        <f t="shared" si="11"/>
        <v>Non Admitted</v>
      </c>
      <c r="BO23" s="2" t="b">
        <v>0</v>
      </c>
      <c r="BP23" s="2" t="b">
        <v>0</v>
      </c>
      <c r="BQ23" s="2"/>
      <c r="BR23" s="2" t="str">
        <f>("SINKING SPRING")</f>
        <v>SINKING SPRING</v>
      </c>
      <c r="BS23" s="2" t="str">
        <f t="shared" si="18"/>
        <v>Active</v>
      </c>
      <c r="BT23" s="3">
        <v>45057</v>
      </c>
    </row>
    <row r="24" spans="1:72" x14ac:dyDescent="0.25">
      <c r="A24" s="2" t="str">
        <f>("089543")</f>
        <v>089543</v>
      </c>
      <c r="B24" s="2" t="str">
        <f>("TIBAAN 0000094-00")</f>
        <v>TIBAAN 0000094-00</v>
      </c>
      <c r="C24" s="2" t="str">
        <f>("THM Holdings LLC")</f>
        <v>THM Holdings LLC</v>
      </c>
      <c r="D24" s="2" t="str">
        <f>("")</f>
        <v/>
      </c>
      <c r="E24" s="2" t="str">
        <f>("")</f>
        <v/>
      </c>
      <c r="F24" s="2" t="str">
        <f>("")</f>
        <v/>
      </c>
      <c r="G24" s="2" t="b">
        <v>0</v>
      </c>
      <c r="H24" s="2" t="str">
        <f>("INV43372")</f>
        <v>INV43372</v>
      </c>
      <c r="I24" s="3">
        <v>45061</v>
      </c>
      <c r="J24" s="3">
        <v>45061</v>
      </c>
      <c r="K24" s="3">
        <v>45427</v>
      </c>
      <c r="L24" s="2">
        <v>25</v>
      </c>
      <c r="M24" s="2">
        <v>15</v>
      </c>
      <c r="N24" s="4">
        <v>56978</v>
      </c>
      <c r="O24" s="4">
        <v>0</v>
      </c>
      <c r="P24" s="4">
        <v>0</v>
      </c>
      <c r="Q24" s="4">
        <v>5697.8</v>
      </c>
      <c r="R24" s="2">
        <v>10</v>
      </c>
      <c r="S24" s="4">
        <v>14244.5</v>
      </c>
      <c r="T24" s="4">
        <v>8546.7000000000007</v>
      </c>
      <c r="U24" s="2" t="b">
        <v>0</v>
      </c>
      <c r="V24" s="2">
        <v>100</v>
      </c>
      <c r="W24" s="2" t="str">
        <f>("BEA1166")</f>
        <v>BEA1166</v>
      </c>
      <c r="X24" s="2" t="str">
        <f>("Wings Insurance ")</f>
        <v xml:space="preserve">Wings Insurance </v>
      </c>
      <c r="Y24" s="2" t="str">
        <f>("MN - Eden Prairie")</f>
        <v>MN - Eden Prairie</v>
      </c>
      <c r="Z24" s="2" t="str">
        <f t="shared" si="0"/>
        <v>Active</v>
      </c>
      <c r="AA24" s="2" t="str">
        <f>("Sara Weidler")</f>
        <v>Sara Weidler</v>
      </c>
      <c r="AB24" s="2" t="str">
        <f t="shared" si="20"/>
        <v>mrk21</v>
      </c>
      <c r="AC24" s="2" t="str">
        <f t="shared" si="21"/>
        <v>Transverse Insurance Company</v>
      </c>
      <c r="AD24" s="2" t="str">
        <f t="shared" si="1"/>
        <v>Active</v>
      </c>
      <c r="AE24" s="2" t="str">
        <f t="shared" si="22"/>
        <v>rsk57</v>
      </c>
      <c r="AF24" s="2" t="str">
        <f t="shared" si="23"/>
        <v>Transverse Insurance Company</v>
      </c>
      <c r="AG24" s="2" t="str">
        <f>("")</f>
        <v/>
      </c>
      <c r="AH24" s="2" t="str">
        <f>("")</f>
        <v/>
      </c>
      <c r="AI24" s="2" t="str">
        <f t="shared" si="2"/>
        <v>Beacon</v>
      </c>
      <c r="AJ24" s="2" t="str">
        <f>("Beacon GA UW")</f>
        <v>Beacon GA UW</v>
      </c>
      <c r="AK24" s="2" t="str">
        <f t="shared" si="3"/>
        <v xml:space="preserve"> </v>
      </c>
      <c r="AL24" s="2" t="str">
        <f t="shared" si="4"/>
        <v>Beacon Aviation Insurance Services - FL</v>
      </c>
      <c r="AM24" s="2" t="str">
        <f t="shared" ref="AM24:AM29" si="25">("Deborah Stafford")</f>
        <v>Deborah Stafford</v>
      </c>
      <c r="AN24" s="2" t="str">
        <f t="shared" si="6"/>
        <v xml:space="preserve"> </v>
      </c>
      <c r="AO24" s="2" t="str">
        <f t="shared" si="7"/>
        <v xml:space="preserve">Beacon Aviation Insurance Services </v>
      </c>
      <c r="AP24" s="2" t="str">
        <f t="shared" si="12"/>
        <v>Aircraft</v>
      </c>
      <c r="AQ24" s="2" t="str">
        <f t="shared" si="24"/>
        <v>Non-Commercial</v>
      </c>
      <c r="AR24" s="2" t="str">
        <f>("New Business")</f>
        <v>New Business</v>
      </c>
      <c r="AS24" s="2" t="str">
        <f t="shared" si="8"/>
        <v>New Business</v>
      </c>
      <c r="AT24" s="2"/>
      <c r="AU24" s="2"/>
      <c r="AV24" s="2" t="str">
        <f>("OR")</f>
        <v>OR</v>
      </c>
      <c r="AW24" s="3">
        <v>44957</v>
      </c>
      <c r="AX24" s="3">
        <v>45051</v>
      </c>
      <c r="AY24" s="3">
        <v>45055</v>
      </c>
      <c r="AZ24" s="2" t="b">
        <v>0</v>
      </c>
      <c r="BA24" s="2" t="b">
        <v>0</v>
      </c>
      <c r="BB24" s="2" t="str">
        <f t="shared" si="9"/>
        <v>Brokerage</v>
      </c>
      <c r="BC24" s="2" t="b">
        <v>0</v>
      </c>
      <c r="BD24" s="2" t="str">
        <f t="shared" si="10"/>
        <v>We File</v>
      </c>
      <c r="BE24" s="2" t="str">
        <f>("14871 Pioneer Trail")</f>
        <v>14871 Pioneer Trail</v>
      </c>
      <c r="BF24" s="2" t="str">
        <f>("55347")</f>
        <v>55347</v>
      </c>
      <c r="BG24" s="4">
        <v>0</v>
      </c>
      <c r="BH24" s="2">
        <v>10</v>
      </c>
      <c r="BI24" s="4">
        <v>0</v>
      </c>
      <c r="BJ24" s="4">
        <v>0</v>
      </c>
      <c r="BK24" s="4">
        <v>0</v>
      </c>
      <c r="BL24" s="4">
        <v>5697.8</v>
      </c>
      <c r="BM24" s="2"/>
      <c r="BN24" s="2" t="str">
        <f t="shared" si="11"/>
        <v>Non Admitted</v>
      </c>
      <c r="BO24" s="2" t="b">
        <v>0</v>
      </c>
      <c r="BP24" s="2" t="b">
        <v>0</v>
      </c>
      <c r="BQ24" s="2"/>
      <c r="BR24" s="2" t="str">
        <f>("Lake Oswego")</f>
        <v>Lake Oswego</v>
      </c>
      <c r="BS24" s="2" t="str">
        <f t="shared" si="18"/>
        <v>Active</v>
      </c>
      <c r="BT24" s="3">
        <v>45061</v>
      </c>
    </row>
    <row r="25" spans="1:72" x14ac:dyDescent="0.25">
      <c r="A25" s="2" t="str">
        <f>("078198")</f>
        <v>078198</v>
      </c>
      <c r="B25" s="2" t="str">
        <f>("TIBAAN 0000001-00")</f>
        <v>TIBAAN 0000001-00</v>
      </c>
      <c r="C25" s="2" t="str">
        <f>("Ward Aviation, LLC")</f>
        <v>Ward Aviation, LLC</v>
      </c>
      <c r="D25" s="2" t="str">
        <f>("")</f>
        <v/>
      </c>
      <c r="E25" s="2" t="str">
        <f>("")</f>
        <v/>
      </c>
      <c r="F25" s="2" t="str">
        <f>("Endorsement")</f>
        <v>Endorsement</v>
      </c>
      <c r="G25" s="2" t="b">
        <v>0</v>
      </c>
      <c r="H25" s="2" t="str">
        <f>("INV44072")</f>
        <v>INV44072</v>
      </c>
      <c r="I25" s="3">
        <v>45061</v>
      </c>
      <c r="J25" s="3">
        <v>44814</v>
      </c>
      <c r="K25" s="3">
        <v>45179</v>
      </c>
      <c r="L25" s="2">
        <v>25</v>
      </c>
      <c r="M25" s="2">
        <v>15</v>
      </c>
      <c r="N25" s="4">
        <v>-11332</v>
      </c>
      <c r="O25" s="4">
        <v>0</v>
      </c>
      <c r="P25" s="4">
        <v>0</v>
      </c>
      <c r="Q25" s="4">
        <v>-1133.2</v>
      </c>
      <c r="R25" s="2">
        <v>10</v>
      </c>
      <c r="S25" s="4">
        <v>-2833</v>
      </c>
      <c r="T25" s="4">
        <v>-1699.8</v>
      </c>
      <c r="U25" s="2" t="b">
        <v>0</v>
      </c>
      <c r="V25" s="2">
        <v>100</v>
      </c>
      <c r="W25" s="2" t="str">
        <f>("BEA1021")</f>
        <v>BEA1021</v>
      </c>
      <c r="X25" s="2" t="str">
        <f>("Avion Insurance Agency, Inc")</f>
        <v>Avion Insurance Agency, Inc</v>
      </c>
      <c r="Y25" s="2" t="str">
        <f>("FL - Lake Mary")</f>
        <v>FL - Lake Mary</v>
      </c>
      <c r="Z25" s="2" t="str">
        <f t="shared" si="0"/>
        <v>Active</v>
      </c>
      <c r="AA25" s="2" t="str">
        <f>("Scott M Langevin")</f>
        <v>Scott M Langevin</v>
      </c>
      <c r="AB25" s="2" t="str">
        <f t="shared" si="20"/>
        <v>mrk21</v>
      </c>
      <c r="AC25" s="2" t="str">
        <f t="shared" si="21"/>
        <v>Transverse Insurance Company</v>
      </c>
      <c r="AD25" s="2" t="str">
        <f t="shared" si="1"/>
        <v>Active</v>
      </c>
      <c r="AE25" s="2" t="str">
        <f t="shared" si="22"/>
        <v>rsk57</v>
      </c>
      <c r="AF25" s="2" t="str">
        <f t="shared" si="23"/>
        <v>Transverse Insurance Company</v>
      </c>
      <c r="AG25" s="2" t="str">
        <f>("")</f>
        <v/>
      </c>
      <c r="AH25" s="2" t="str">
        <f>("")</f>
        <v/>
      </c>
      <c r="AI25" s="2" t="str">
        <f t="shared" si="2"/>
        <v>Beacon</v>
      </c>
      <c r="AJ25" s="2" t="str">
        <f>("Thomas Hollinger")</f>
        <v>Thomas Hollinger</v>
      </c>
      <c r="AK25" s="2" t="str">
        <f t="shared" si="3"/>
        <v xml:space="preserve"> </v>
      </c>
      <c r="AL25" s="2" t="str">
        <f t="shared" si="4"/>
        <v>Beacon Aviation Insurance Services - FL</v>
      </c>
      <c r="AM25" s="2" t="str">
        <f t="shared" si="25"/>
        <v>Deborah Stafford</v>
      </c>
      <c r="AN25" s="2" t="str">
        <f t="shared" si="6"/>
        <v xml:space="preserve"> </v>
      </c>
      <c r="AO25" s="2" t="str">
        <f t="shared" si="7"/>
        <v xml:space="preserve">Beacon Aviation Insurance Services </v>
      </c>
      <c r="AP25" s="2" t="str">
        <f t="shared" si="12"/>
        <v>Aircraft</v>
      </c>
      <c r="AQ25" s="2" t="str">
        <f t="shared" si="24"/>
        <v>Non-Commercial</v>
      </c>
      <c r="AR25" s="2" t="str">
        <f>("Endorsement")</f>
        <v>Endorsement</v>
      </c>
      <c r="AS25" s="2" t="str">
        <f t="shared" si="8"/>
        <v>New Business</v>
      </c>
      <c r="AT25" s="2"/>
      <c r="AU25" s="2"/>
      <c r="AV25" s="2" t="str">
        <f>("MI")</f>
        <v>MI</v>
      </c>
      <c r="AW25" s="3">
        <v>44818</v>
      </c>
      <c r="AX25" s="3">
        <v>44840</v>
      </c>
      <c r="AY25" s="3">
        <v>45061</v>
      </c>
      <c r="AZ25" s="2" t="b">
        <v>0</v>
      </c>
      <c r="BA25" s="2" t="b">
        <v>0</v>
      </c>
      <c r="BB25" s="2" t="str">
        <f t="shared" si="9"/>
        <v>Brokerage</v>
      </c>
      <c r="BC25" s="2" t="b">
        <v>0</v>
      </c>
      <c r="BD25" s="2" t="str">
        <f t="shared" si="10"/>
        <v>We File</v>
      </c>
      <c r="BE25" s="2" t="str">
        <f>("1307 South International Parkway")</f>
        <v>1307 South International Parkway</v>
      </c>
      <c r="BF25" s="2" t="str">
        <f>("32746")</f>
        <v>32746</v>
      </c>
      <c r="BG25" s="4">
        <v>0</v>
      </c>
      <c r="BH25" s="2">
        <v>10</v>
      </c>
      <c r="BI25" s="4">
        <v>0</v>
      </c>
      <c r="BJ25" s="4">
        <v>0</v>
      </c>
      <c r="BK25" s="4">
        <v>0</v>
      </c>
      <c r="BL25" s="4">
        <v>-1133.2</v>
      </c>
      <c r="BM25" s="2"/>
      <c r="BN25" s="2" t="str">
        <f t="shared" si="11"/>
        <v>Non Admitted</v>
      </c>
      <c r="BO25" s="2" t="b">
        <v>0</v>
      </c>
      <c r="BP25" s="2" t="b">
        <v>0</v>
      </c>
      <c r="BQ25" s="2"/>
      <c r="BR25" s="2" t="str">
        <f>("Grand Rapids")</f>
        <v>Grand Rapids</v>
      </c>
      <c r="BS25" s="2" t="str">
        <f t="shared" si="18"/>
        <v>Active</v>
      </c>
      <c r="BT25" s="3">
        <v>45061</v>
      </c>
    </row>
    <row r="26" spans="1:72" x14ac:dyDescent="0.25">
      <c r="A26" s="2" t="str">
        <f>("091082")</f>
        <v>091082</v>
      </c>
      <c r="B26" s="2" t="str">
        <f>("TIBAAN 0009009-00")</f>
        <v>TIBAAN 0009009-00</v>
      </c>
      <c r="C26" s="2" t="str">
        <f>("JK Leasing LLC")</f>
        <v>JK Leasing LLC</v>
      </c>
      <c r="D26" s="2" t="str">
        <f>("")</f>
        <v/>
      </c>
      <c r="E26" s="2" t="str">
        <f>("")</f>
        <v/>
      </c>
      <c r="F26" s="2" t="str">
        <f>("")</f>
        <v/>
      </c>
      <c r="G26" s="2" t="b">
        <v>0</v>
      </c>
      <c r="H26" s="2" t="str">
        <f>("INV45597")</f>
        <v>INV45597</v>
      </c>
      <c r="I26" s="3">
        <v>45062</v>
      </c>
      <c r="J26" s="3">
        <v>45062</v>
      </c>
      <c r="K26" s="3">
        <v>45428</v>
      </c>
      <c r="L26" s="2">
        <v>25</v>
      </c>
      <c r="M26" s="2">
        <v>15</v>
      </c>
      <c r="N26" s="4">
        <v>24371</v>
      </c>
      <c r="O26" s="4">
        <v>0</v>
      </c>
      <c r="P26" s="4">
        <v>0</v>
      </c>
      <c r="Q26" s="4">
        <v>2437.1</v>
      </c>
      <c r="R26" s="2">
        <v>10</v>
      </c>
      <c r="S26" s="4">
        <v>6092.75</v>
      </c>
      <c r="T26" s="4">
        <v>3655.65</v>
      </c>
      <c r="U26" s="2" t="b">
        <v>0</v>
      </c>
      <c r="V26" s="2">
        <v>100</v>
      </c>
      <c r="W26" s="2" t="str">
        <f>("BEA1166")</f>
        <v>BEA1166</v>
      </c>
      <c r="X26" s="2" t="str">
        <f>("Wings Insurance ")</f>
        <v xml:space="preserve">Wings Insurance </v>
      </c>
      <c r="Y26" s="2" t="str">
        <f>("MN - Eden Prairie")</f>
        <v>MN - Eden Prairie</v>
      </c>
      <c r="Z26" s="2" t="str">
        <f t="shared" si="0"/>
        <v>Active</v>
      </c>
      <c r="AA26" s="2" t="str">
        <f>("Renewal Dept")</f>
        <v>Renewal Dept</v>
      </c>
      <c r="AB26" s="2" t="str">
        <f t="shared" si="20"/>
        <v>mrk21</v>
      </c>
      <c r="AC26" s="2" t="str">
        <f t="shared" si="21"/>
        <v>Transverse Insurance Company</v>
      </c>
      <c r="AD26" s="2" t="str">
        <f t="shared" si="1"/>
        <v>Active</v>
      </c>
      <c r="AE26" s="2" t="str">
        <f t="shared" si="22"/>
        <v>rsk57</v>
      </c>
      <c r="AF26" s="2" t="str">
        <f t="shared" si="23"/>
        <v>Transverse Insurance Company</v>
      </c>
      <c r="AG26" s="2" t="str">
        <f>("")</f>
        <v/>
      </c>
      <c r="AH26" s="2" t="str">
        <f>("")</f>
        <v/>
      </c>
      <c r="AI26" s="2" t="str">
        <f t="shared" si="2"/>
        <v>Beacon</v>
      </c>
      <c r="AJ26" s="2" t="str">
        <f>("Kate Rouker")</f>
        <v>Kate Rouker</v>
      </c>
      <c r="AK26" s="2" t="str">
        <f t="shared" si="3"/>
        <v xml:space="preserve"> </v>
      </c>
      <c r="AL26" s="2" t="str">
        <f t="shared" si="4"/>
        <v>Beacon Aviation Insurance Services - FL</v>
      </c>
      <c r="AM26" s="2" t="str">
        <f t="shared" si="25"/>
        <v>Deborah Stafford</v>
      </c>
      <c r="AN26" s="2" t="str">
        <f t="shared" si="6"/>
        <v xml:space="preserve"> </v>
      </c>
      <c r="AO26" s="2" t="str">
        <f t="shared" si="7"/>
        <v xml:space="preserve">Beacon Aviation Insurance Services </v>
      </c>
      <c r="AP26" s="2" t="str">
        <f t="shared" si="12"/>
        <v>Aircraft</v>
      </c>
      <c r="AQ26" s="2" t="str">
        <f t="shared" si="24"/>
        <v>Non-Commercial</v>
      </c>
      <c r="AR26" s="2" t="str">
        <f>("New Business")</f>
        <v>New Business</v>
      </c>
      <c r="AS26" s="2" t="str">
        <f t="shared" si="8"/>
        <v>New Business</v>
      </c>
      <c r="AT26" s="2"/>
      <c r="AU26" s="2"/>
      <c r="AV26" s="2" t="str">
        <f>("AZ")</f>
        <v>AZ</v>
      </c>
      <c r="AW26" s="3">
        <v>44972</v>
      </c>
      <c r="AX26" s="3">
        <v>45070</v>
      </c>
      <c r="AY26" s="3">
        <v>45070</v>
      </c>
      <c r="AZ26" s="2" t="b">
        <v>0</v>
      </c>
      <c r="BA26" s="2" t="b">
        <v>0</v>
      </c>
      <c r="BB26" s="2" t="str">
        <f t="shared" si="9"/>
        <v>Brokerage</v>
      </c>
      <c r="BC26" s="2" t="b">
        <v>0</v>
      </c>
      <c r="BD26" s="2" t="str">
        <f t="shared" si="10"/>
        <v>We File</v>
      </c>
      <c r="BE26" s="2" t="str">
        <f>("14871 Pioneer Trail")</f>
        <v>14871 Pioneer Trail</v>
      </c>
      <c r="BF26" s="2" t="str">
        <f>("55347")</f>
        <v>55347</v>
      </c>
      <c r="BG26" s="4">
        <v>0</v>
      </c>
      <c r="BH26" s="2">
        <v>10</v>
      </c>
      <c r="BI26" s="4">
        <v>0</v>
      </c>
      <c r="BJ26" s="4">
        <v>0</v>
      </c>
      <c r="BK26" s="4">
        <v>0</v>
      </c>
      <c r="BL26" s="4">
        <v>2437.1</v>
      </c>
      <c r="BM26" s="2"/>
      <c r="BN26" s="2" t="str">
        <f t="shared" si="11"/>
        <v>Non Admitted</v>
      </c>
      <c r="BO26" s="2" t="b">
        <v>0</v>
      </c>
      <c r="BP26" s="2" t="b">
        <v>0</v>
      </c>
      <c r="BQ26" s="2"/>
      <c r="BR26" s="2" t="str">
        <f>("Gilbert")</f>
        <v>Gilbert</v>
      </c>
      <c r="BS26" s="2" t="str">
        <f t="shared" si="18"/>
        <v>Active</v>
      </c>
      <c r="BT26" s="3">
        <v>45062</v>
      </c>
    </row>
    <row r="27" spans="1:72" x14ac:dyDescent="0.25">
      <c r="A27" s="2" t="str">
        <f>("099235")</f>
        <v>099235</v>
      </c>
      <c r="B27" s="2" t="str">
        <f>("TIBAAN 0009008-00")</f>
        <v>TIBAAN 0009008-00</v>
      </c>
      <c r="C27" s="2" t="str">
        <f>("Melvin C. McQuarrie")</f>
        <v>Melvin C. McQuarrie</v>
      </c>
      <c r="D27" s="2" t="str">
        <f>("")</f>
        <v/>
      </c>
      <c r="E27" s="2" t="str">
        <f>("")</f>
        <v/>
      </c>
      <c r="F27" s="2" t="str">
        <f>("")</f>
        <v/>
      </c>
      <c r="G27" s="2" t="b">
        <v>0</v>
      </c>
      <c r="H27" s="2" t="str">
        <f>("INV45600")</f>
        <v>INV45600</v>
      </c>
      <c r="I27" s="3">
        <v>45063</v>
      </c>
      <c r="J27" s="3">
        <v>45063</v>
      </c>
      <c r="K27" s="3">
        <v>45429</v>
      </c>
      <c r="L27" s="2">
        <v>25</v>
      </c>
      <c r="M27" s="2">
        <v>15</v>
      </c>
      <c r="N27" s="4">
        <v>1254</v>
      </c>
      <c r="O27" s="4">
        <v>0</v>
      </c>
      <c r="P27" s="4">
        <v>0</v>
      </c>
      <c r="Q27" s="4">
        <v>125.4</v>
      </c>
      <c r="R27" s="2">
        <v>10</v>
      </c>
      <c r="S27" s="4">
        <v>313.5</v>
      </c>
      <c r="T27" s="4">
        <v>188.1</v>
      </c>
      <c r="U27" s="2" t="b">
        <v>0</v>
      </c>
      <c r="V27" s="2">
        <v>100</v>
      </c>
      <c r="W27" s="2" t="str">
        <f>("BEA1166")</f>
        <v>BEA1166</v>
      </c>
      <c r="X27" s="2" t="str">
        <f>("Wings Insurance ")</f>
        <v xml:space="preserve">Wings Insurance </v>
      </c>
      <c r="Y27" s="2" t="str">
        <f>("MN - Eden Prairie")</f>
        <v>MN - Eden Prairie</v>
      </c>
      <c r="Z27" s="2" t="str">
        <f t="shared" si="0"/>
        <v>Active</v>
      </c>
      <c r="AA27" s="2" t="str">
        <f>("Ramona Ramsey")</f>
        <v>Ramona Ramsey</v>
      </c>
      <c r="AB27" s="2" t="str">
        <f t="shared" si="20"/>
        <v>mrk21</v>
      </c>
      <c r="AC27" s="2" t="str">
        <f t="shared" si="21"/>
        <v>Transverse Insurance Company</v>
      </c>
      <c r="AD27" s="2" t="str">
        <f t="shared" si="1"/>
        <v>Active</v>
      </c>
      <c r="AE27" s="2" t="str">
        <f t="shared" si="22"/>
        <v>rsk57</v>
      </c>
      <c r="AF27" s="2" t="str">
        <f t="shared" si="23"/>
        <v>Transverse Insurance Company</v>
      </c>
      <c r="AG27" s="2" t="str">
        <f>("")</f>
        <v/>
      </c>
      <c r="AH27" s="2" t="str">
        <f>("")</f>
        <v/>
      </c>
      <c r="AI27" s="2" t="str">
        <f t="shared" si="2"/>
        <v>Beacon</v>
      </c>
      <c r="AJ27" s="2" t="str">
        <f>("Kate Rouker")</f>
        <v>Kate Rouker</v>
      </c>
      <c r="AK27" s="2" t="str">
        <f t="shared" si="3"/>
        <v xml:space="preserve"> </v>
      </c>
      <c r="AL27" s="2" t="str">
        <f t="shared" si="4"/>
        <v>Beacon Aviation Insurance Services - FL</v>
      </c>
      <c r="AM27" s="2" t="str">
        <f t="shared" si="25"/>
        <v>Deborah Stafford</v>
      </c>
      <c r="AN27" s="2" t="str">
        <f t="shared" si="6"/>
        <v xml:space="preserve"> </v>
      </c>
      <c r="AO27" s="2" t="str">
        <f t="shared" si="7"/>
        <v xml:space="preserve">Beacon Aviation Insurance Services </v>
      </c>
      <c r="AP27" s="2" t="str">
        <f t="shared" si="12"/>
        <v>Aircraft</v>
      </c>
      <c r="AQ27" s="2" t="str">
        <f t="shared" si="24"/>
        <v>Non-Commercial</v>
      </c>
      <c r="AR27" s="2" t="str">
        <f>("New Business")</f>
        <v>New Business</v>
      </c>
      <c r="AS27" s="2" t="str">
        <f t="shared" si="8"/>
        <v>New Business</v>
      </c>
      <c r="AT27" s="2"/>
      <c r="AU27" s="2"/>
      <c r="AV27" s="2" t="str">
        <f>("UT")</f>
        <v>UT</v>
      </c>
      <c r="AW27" s="3">
        <v>45049</v>
      </c>
      <c r="AX27" s="3">
        <v>45070</v>
      </c>
      <c r="AY27" s="3">
        <v>45070</v>
      </c>
      <c r="AZ27" s="2" t="b">
        <v>0</v>
      </c>
      <c r="BA27" s="2" t="b">
        <v>0</v>
      </c>
      <c r="BB27" s="2" t="str">
        <f t="shared" si="9"/>
        <v>Brokerage</v>
      </c>
      <c r="BC27" s="2" t="b">
        <v>0</v>
      </c>
      <c r="BD27" s="2" t="str">
        <f t="shared" si="10"/>
        <v>We File</v>
      </c>
      <c r="BE27" s="2" t="str">
        <f>("14871 Pioneer Trail")</f>
        <v>14871 Pioneer Trail</v>
      </c>
      <c r="BF27" s="2" t="str">
        <f>("55347")</f>
        <v>55347</v>
      </c>
      <c r="BG27" s="4">
        <v>0</v>
      </c>
      <c r="BH27" s="2">
        <v>10</v>
      </c>
      <c r="BI27" s="4">
        <v>0</v>
      </c>
      <c r="BJ27" s="4">
        <v>0</v>
      </c>
      <c r="BK27" s="4">
        <v>0</v>
      </c>
      <c r="BL27" s="4">
        <v>125.4</v>
      </c>
      <c r="BM27" s="2"/>
      <c r="BN27" s="2" t="str">
        <f t="shared" si="11"/>
        <v>Non Admitted</v>
      </c>
      <c r="BO27" s="2" t="b">
        <v>0</v>
      </c>
      <c r="BP27" s="2" t="b">
        <v>0</v>
      </c>
      <c r="BQ27" s="2"/>
      <c r="BR27" s="2" t="str">
        <f>("HEBER")</f>
        <v>HEBER</v>
      </c>
      <c r="BS27" s="2" t="str">
        <f t="shared" si="18"/>
        <v>Active</v>
      </c>
      <c r="BT27" s="3">
        <v>45063</v>
      </c>
    </row>
    <row r="28" spans="1:72" x14ac:dyDescent="0.25">
      <c r="A28" s="2" t="str">
        <f>("086518")</f>
        <v>086518</v>
      </c>
      <c r="B28" s="2" t="str">
        <f>("TIBAAN 0000037-00")</f>
        <v>TIBAAN 0000037-00</v>
      </c>
      <c r="C28" s="2" t="str">
        <f>("Shoreline Aviation LLC")</f>
        <v>Shoreline Aviation LLC</v>
      </c>
      <c r="D28" s="2" t="str">
        <f>("")</f>
        <v/>
      </c>
      <c r="E28" s="2" t="str">
        <f>("")</f>
        <v/>
      </c>
      <c r="F28" s="2" t="str">
        <f>("Endorsement")</f>
        <v>Endorsement</v>
      </c>
      <c r="G28" s="2" t="b">
        <v>0</v>
      </c>
      <c r="H28" s="2" t="str">
        <f>("INV44734")</f>
        <v>INV44734</v>
      </c>
      <c r="I28" s="3">
        <v>45063</v>
      </c>
      <c r="J28" s="3">
        <v>44925</v>
      </c>
      <c r="K28" s="3">
        <v>45290</v>
      </c>
      <c r="L28" s="2">
        <v>25</v>
      </c>
      <c r="M28" s="2">
        <v>15</v>
      </c>
      <c r="N28" s="4">
        <v>0</v>
      </c>
      <c r="O28" s="4">
        <v>0</v>
      </c>
      <c r="P28" s="4">
        <v>0</v>
      </c>
      <c r="Q28" s="4">
        <v>0</v>
      </c>
      <c r="R28" s="2">
        <v>0</v>
      </c>
      <c r="S28" s="4">
        <v>0</v>
      </c>
      <c r="T28" s="4">
        <v>0</v>
      </c>
      <c r="U28" s="2" t="b">
        <v>0</v>
      </c>
      <c r="V28" s="2">
        <v>100</v>
      </c>
      <c r="W28" s="2" t="str">
        <f>("BEA1131")</f>
        <v>BEA1131</v>
      </c>
      <c r="X28" s="2" t="str">
        <f>("Travers &amp; Associates")</f>
        <v>Travers &amp; Associates</v>
      </c>
      <c r="Y28" s="2" t="str">
        <f>("MO - Saint Louis")</f>
        <v>MO - Saint Louis</v>
      </c>
      <c r="Z28" s="2" t="str">
        <f t="shared" si="0"/>
        <v>Active</v>
      </c>
      <c r="AA28" s="2" t="str">
        <f>("Madison Clipp")</f>
        <v>Madison Clipp</v>
      </c>
      <c r="AB28" s="2" t="str">
        <f t="shared" si="20"/>
        <v>mrk21</v>
      </c>
      <c r="AC28" s="2" t="str">
        <f t="shared" si="21"/>
        <v>Transverse Insurance Company</v>
      </c>
      <c r="AD28" s="2" t="str">
        <f t="shared" si="1"/>
        <v>Active</v>
      </c>
      <c r="AE28" s="2" t="str">
        <f t="shared" si="22"/>
        <v>rsk57</v>
      </c>
      <c r="AF28" s="2" t="str">
        <f t="shared" si="23"/>
        <v>Transverse Insurance Company</v>
      </c>
      <c r="AG28" s="2" t="str">
        <f>("")</f>
        <v/>
      </c>
      <c r="AH28" s="2" t="str">
        <f>("")</f>
        <v/>
      </c>
      <c r="AI28" s="2" t="str">
        <f t="shared" si="2"/>
        <v>Beacon</v>
      </c>
      <c r="AJ28" s="2" t="str">
        <f>("Thomas Hollinger")</f>
        <v>Thomas Hollinger</v>
      </c>
      <c r="AK28" s="2" t="str">
        <f t="shared" si="3"/>
        <v xml:space="preserve"> </v>
      </c>
      <c r="AL28" s="2" t="str">
        <f t="shared" si="4"/>
        <v>Beacon Aviation Insurance Services - FL</v>
      </c>
      <c r="AM28" s="2" t="str">
        <f t="shared" si="25"/>
        <v>Deborah Stafford</v>
      </c>
      <c r="AN28" s="2" t="str">
        <f t="shared" si="6"/>
        <v xml:space="preserve"> </v>
      </c>
      <c r="AO28" s="2" t="str">
        <f t="shared" si="7"/>
        <v xml:space="preserve">Beacon Aviation Insurance Services </v>
      </c>
      <c r="AP28" s="2" t="str">
        <f t="shared" si="12"/>
        <v>Aircraft</v>
      </c>
      <c r="AQ28" s="2" t="str">
        <f t="shared" si="24"/>
        <v>Non-Commercial</v>
      </c>
      <c r="AR28" s="2" t="str">
        <f>("Endorsement")</f>
        <v>Endorsement</v>
      </c>
      <c r="AS28" s="2" t="str">
        <f t="shared" si="8"/>
        <v>New Business</v>
      </c>
      <c r="AT28" s="2"/>
      <c r="AU28" s="2"/>
      <c r="AV28" s="2" t="str">
        <f>("UT")</f>
        <v>UT</v>
      </c>
      <c r="AW28" s="3">
        <v>44925</v>
      </c>
      <c r="AX28" s="3">
        <v>44929</v>
      </c>
      <c r="AY28" s="3">
        <v>45064</v>
      </c>
      <c r="AZ28" s="2" t="b">
        <v>0</v>
      </c>
      <c r="BA28" s="2" t="b">
        <v>0</v>
      </c>
      <c r="BB28" s="2" t="str">
        <f t="shared" si="9"/>
        <v>Brokerage</v>
      </c>
      <c r="BC28" s="2" t="b">
        <v>0</v>
      </c>
      <c r="BD28" s="2" t="str">
        <f t="shared" si="10"/>
        <v>We File</v>
      </c>
      <c r="BE28" s="2" t="str">
        <f>("PO Box 220519")</f>
        <v>PO Box 220519</v>
      </c>
      <c r="BF28" s="2" t="str">
        <f>("63122")</f>
        <v>63122</v>
      </c>
      <c r="BG28" s="4">
        <v>0</v>
      </c>
      <c r="BH28" s="2">
        <v>0</v>
      </c>
      <c r="BI28" s="4">
        <v>0</v>
      </c>
      <c r="BJ28" s="4">
        <v>0</v>
      </c>
      <c r="BK28" s="4">
        <v>0</v>
      </c>
      <c r="BL28" s="4">
        <v>0</v>
      </c>
      <c r="BM28" s="2"/>
      <c r="BN28" s="2" t="str">
        <f t="shared" si="11"/>
        <v>Non Admitted</v>
      </c>
      <c r="BO28" s="2" t="b">
        <v>0</v>
      </c>
      <c r="BP28" s="2" t="b">
        <v>0</v>
      </c>
      <c r="BQ28" s="2"/>
      <c r="BR28" s="2" t="str">
        <f>("Sandy")</f>
        <v>Sandy</v>
      </c>
      <c r="BS28" s="2" t="str">
        <f>("Cancelled")</f>
        <v>Cancelled</v>
      </c>
      <c r="BT28" s="3">
        <v>45063</v>
      </c>
    </row>
    <row r="29" spans="1:72" x14ac:dyDescent="0.25">
      <c r="A29" s="2" t="str">
        <f>("086518")</f>
        <v>086518</v>
      </c>
      <c r="B29" s="2" t="str">
        <f>("TIBAAN 0000037-00")</f>
        <v>TIBAAN 0000037-00</v>
      </c>
      <c r="C29" s="2" t="str">
        <f>("Shoreline Aviation LLC")</f>
        <v>Shoreline Aviation LLC</v>
      </c>
      <c r="D29" s="2" t="str">
        <f>("")</f>
        <v/>
      </c>
      <c r="E29" s="2" t="str">
        <f>("")</f>
        <v/>
      </c>
      <c r="F29" s="2" t="str">
        <f>("Endorsement")</f>
        <v>Endorsement</v>
      </c>
      <c r="G29" s="2" t="b">
        <v>0</v>
      </c>
      <c r="H29" s="2" t="str">
        <f>("INV44733")</f>
        <v>INV44733</v>
      </c>
      <c r="I29" s="3">
        <v>45063</v>
      </c>
      <c r="J29" s="3">
        <v>44924</v>
      </c>
      <c r="K29" s="3">
        <v>45289</v>
      </c>
      <c r="L29" s="2">
        <v>25</v>
      </c>
      <c r="M29" s="2">
        <v>15</v>
      </c>
      <c r="N29" s="4">
        <v>-32096.39</v>
      </c>
      <c r="O29" s="4">
        <v>0</v>
      </c>
      <c r="P29" s="4">
        <v>0</v>
      </c>
      <c r="Q29" s="4">
        <v>-3209.64</v>
      </c>
      <c r="R29" s="2">
        <v>10</v>
      </c>
      <c r="S29" s="4">
        <v>-8024.1</v>
      </c>
      <c r="T29" s="4">
        <v>-4814.46</v>
      </c>
      <c r="U29" s="2" t="b">
        <v>0</v>
      </c>
      <c r="V29" s="2">
        <v>100</v>
      </c>
      <c r="W29" s="2" t="str">
        <f>("BEA1131")</f>
        <v>BEA1131</v>
      </c>
      <c r="X29" s="2" t="str">
        <f>("Travers &amp; Associates")</f>
        <v>Travers &amp; Associates</v>
      </c>
      <c r="Y29" s="2" t="str">
        <f>("MO - Saint Louis")</f>
        <v>MO - Saint Louis</v>
      </c>
      <c r="Z29" s="2" t="str">
        <f t="shared" si="0"/>
        <v>Active</v>
      </c>
      <c r="AA29" s="2" t="str">
        <f>("Madison Clipp")</f>
        <v>Madison Clipp</v>
      </c>
      <c r="AB29" s="2" t="str">
        <f t="shared" si="20"/>
        <v>mrk21</v>
      </c>
      <c r="AC29" s="2" t="str">
        <f t="shared" si="21"/>
        <v>Transverse Insurance Company</v>
      </c>
      <c r="AD29" s="2" t="str">
        <f t="shared" si="1"/>
        <v>Active</v>
      </c>
      <c r="AE29" s="2" t="str">
        <f t="shared" si="22"/>
        <v>rsk57</v>
      </c>
      <c r="AF29" s="2" t="str">
        <f t="shared" si="23"/>
        <v>Transverse Insurance Company</v>
      </c>
      <c r="AG29" s="2" t="str">
        <f>("")</f>
        <v/>
      </c>
      <c r="AH29" s="2" t="str">
        <f>("")</f>
        <v/>
      </c>
      <c r="AI29" s="2" t="str">
        <f t="shared" si="2"/>
        <v>Beacon</v>
      </c>
      <c r="AJ29" s="2" t="str">
        <f>("Nick Umali")</f>
        <v>Nick Umali</v>
      </c>
      <c r="AK29" s="2" t="str">
        <f t="shared" si="3"/>
        <v xml:space="preserve"> </v>
      </c>
      <c r="AL29" s="2" t="str">
        <f t="shared" si="4"/>
        <v>Beacon Aviation Insurance Services - FL</v>
      </c>
      <c r="AM29" s="2" t="str">
        <f t="shared" si="25"/>
        <v>Deborah Stafford</v>
      </c>
      <c r="AN29" s="2" t="str">
        <f t="shared" si="6"/>
        <v xml:space="preserve"> </v>
      </c>
      <c r="AO29" s="2" t="str">
        <f t="shared" si="7"/>
        <v xml:space="preserve">Beacon Aviation Insurance Services </v>
      </c>
      <c r="AP29" s="2" t="str">
        <f t="shared" si="12"/>
        <v>Aircraft</v>
      </c>
      <c r="AQ29" s="2" t="str">
        <f t="shared" si="24"/>
        <v>Non-Commercial</v>
      </c>
      <c r="AR29" s="2" t="str">
        <f>("Endorsement")</f>
        <v>Endorsement</v>
      </c>
      <c r="AS29" s="2" t="str">
        <f t="shared" si="8"/>
        <v>New Business</v>
      </c>
      <c r="AT29" s="2"/>
      <c r="AU29" s="2"/>
      <c r="AV29" s="2" t="str">
        <f>("UT")</f>
        <v>UT</v>
      </c>
      <c r="AW29" s="3">
        <v>45064</v>
      </c>
      <c r="AX29" s="3">
        <v>45064</v>
      </c>
      <c r="AY29" s="3">
        <v>45063</v>
      </c>
      <c r="AZ29" s="2" t="b">
        <v>0</v>
      </c>
      <c r="BA29" s="2" t="b">
        <v>0</v>
      </c>
      <c r="BB29" s="2" t="str">
        <f t="shared" si="9"/>
        <v>Brokerage</v>
      </c>
      <c r="BC29" s="2" t="b">
        <v>0</v>
      </c>
      <c r="BD29" s="2" t="str">
        <f t="shared" si="10"/>
        <v>We File</v>
      </c>
      <c r="BE29" s="2" t="str">
        <f>("PO Box 220519")</f>
        <v>PO Box 220519</v>
      </c>
      <c r="BF29" s="2" t="str">
        <f>("63122")</f>
        <v>63122</v>
      </c>
      <c r="BG29" s="4">
        <v>0</v>
      </c>
      <c r="BH29" s="2">
        <v>10</v>
      </c>
      <c r="BI29" s="4">
        <v>0</v>
      </c>
      <c r="BJ29" s="4">
        <v>0</v>
      </c>
      <c r="BK29" s="4">
        <v>0</v>
      </c>
      <c r="BL29" s="4">
        <v>-3209.64</v>
      </c>
      <c r="BM29" s="2"/>
      <c r="BN29" s="2" t="str">
        <f t="shared" si="11"/>
        <v>Non Admitted</v>
      </c>
      <c r="BO29" s="2" t="b">
        <v>0</v>
      </c>
      <c r="BP29" s="2" t="b">
        <v>0</v>
      </c>
      <c r="BQ29" s="2"/>
      <c r="BR29" s="2" t="str">
        <f>("Sandy")</f>
        <v>Sandy</v>
      </c>
      <c r="BS29" s="2" t="str">
        <f t="shared" ref="BS29:BS46" si="26">("Active")</f>
        <v>Active</v>
      </c>
      <c r="BT29" s="3">
        <v>45063</v>
      </c>
    </row>
    <row r="30" spans="1:72" x14ac:dyDescent="0.25">
      <c r="A30" s="2" t="str">
        <f>("101138")</f>
        <v>101138</v>
      </c>
      <c r="B30" s="2" t="str">
        <f>("TIBAAN 0009012-00")</f>
        <v>TIBAAN 0009012-00</v>
      </c>
      <c r="C30" s="2" t="str">
        <f>("Basin Franchising, LLC")</f>
        <v>Basin Franchising, LLC</v>
      </c>
      <c r="D30" s="2" t="str">
        <f>("")</f>
        <v/>
      </c>
      <c r="E30" s="2" t="str">
        <f>("")</f>
        <v/>
      </c>
      <c r="F30" s="2" t="str">
        <f>("")</f>
        <v/>
      </c>
      <c r="G30" s="2" t="b">
        <v>0</v>
      </c>
      <c r="H30" s="2" t="str">
        <f>("INV45017")</f>
        <v>INV45017</v>
      </c>
      <c r="I30" s="3">
        <v>45064</v>
      </c>
      <c r="J30" s="3">
        <v>45064</v>
      </c>
      <c r="K30" s="3">
        <v>45430</v>
      </c>
      <c r="L30" s="2">
        <v>25</v>
      </c>
      <c r="M30" s="2">
        <v>5</v>
      </c>
      <c r="N30" s="4">
        <v>3669</v>
      </c>
      <c r="O30" s="4">
        <v>0</v>
      </c>
      <c r="P30" s="4">
        <v>0</v>
      </c>
      <c r="Q30" s="4">
        <v>733.8</v>
      </c>
      <c r="R30" s="2">
        <v>20</v>
      </c>
      <c r="S30" s="4">
        <v>917.25</v>
      </c>
      <c r="T30" s="4">
        <v>183.45</v>
      </c>
      <c r="U30" s="2" t="b">
        <v>0</v>
      </c>
      <c r="V30" s="2">
        <v>100</v>
      </c>
      <c r="W30" s="2" t="str">
        <f>("BEA3386")</f>
        <v>BEA3386</v>
      </c>
      <c r="X30" s="2" t="str">
        <f>("CRC Group")</f>
        <v>CRC Group</v>
      </c>
      <c r="Y30" s="2" t="str">
        <f>("IN - Carmel")</f>
        <v>IN - Carmel</v>
      </c>
      <c r="Z30" s="2" t="str">
        <f t="shared" si="0"/>
        <v>Active</v>
      </c>
      <c r="AA30" s="2" t="str">
        <f>("Camille Knight")</f>
        <v>Camille Knight</v>
      </c>
      <c r="AB30" s="2" t="str">
        <f t="shared" si="20"/>
        <v>mrk21</v>
      </c>
      <c r="AC30" s="2" t="str">
        <f t="shared" si="21"/>
        <v>Transverse Insurance Company</v>
      </c>
      <c r="AD30" s="2" t="str">
        <f t="shared" si="1"/>
        <v>Active</v>
      </c>
      <c r="AE30" s="2" t="str">
        <f t="shared" si="22"/>
        <v>rsk57</v>
      </c>
      <c r="AF30" s="2" t="str">
        <f t="shared" si="23"/>
        <v>Transverse Insurance Company</v>
      </c>
      <c r="AG30" s="2" t="str">
        <f>("")</f>
        <v/>
      </c>
      <c r="AH30" s="2" t="str">
        <f>("")</f>
        <v/>
      </c>
      <c r="AI30" s="2" t="str">
        <f t="shared" si="2"/>
        <v>Beacon</v>
      </c>
      <c r="AJ30" s="2" t="str">
        <f>("Britt Kral")</f>
        <v>Britt Kral</v>
      </c>
      <c r="AK30" s="2" t="str">
        <f t="shared" si="3"/>
        <v xml:space="preserve"> </v>
      </c>
      <c r="AL30" s="2" t="str">
        <f t="shared" si="4"/>
        <v>Beacon Aviation Insurance Services - FL</v>
      </c>
      <c r="AM30" s="2" t="str">
        <f>("Sharon Woods")</f>
        <v>Sharon Woods</v>
      </c>
      <c r="AN30" s="2" t="str">
        <f t="shared" si="6"/>
        <v xml:space="preserve"> </v>
      </c>
      <c r="AO30" s="2" t="str">
        <f t="shared" si="7"/>
        <v xml:space="preserve">Beacon Aviation Insurance Services </v>
      </c>
      <c r="AP30" s="2" t="str">
        <f t="shared" si="12"/>
        <v>Aircraft</v>
      </c>
      <c r="AQ30" s="2" t="str">
        <f t="shared" si="24"/>
        <v>Non-Commercial</v>
      </c>
      <c r="AR30" s="2" t="str">
        <f t="shared" ref="AR30:AR36" si="27">("New Business")</f>
        <v>New Business</v>
      </c>
      <c r="AS30" s="2" t="str">
        <f t="shared" si="8"/>
        <v>New Business</v>
      </c>
      <c r="AT30" s="2"/>
      <c r="AU30" s="2"/>
      <c r="AV30" s="2" t="str">
        <f>("UT")</f>
        <v>UT</v>
      </c>
      <c r="AW30" s="3">
        <v>45065</v>
      </c>
      <c r="AX30" s="3">
        <v>45065</v>
      </c>
      <c r="AY30" s="3">
        <v>45065</v>
      </c>
      <c r="AZ30" s="2" t="b">
        <v>0</v>
      </c>
      <c r="BA30" s="2" t="b">
        <v>0</v>
      </c>
      <c r="BB30" s="2" t="str">
        <f t="shared" si="9"/>
        <v>Brokerage</v>
      </c>
      <c r="BC30" s="2" t="b">
        <v>0</v>
      </c>
      <c r="BD30" s="2" t="str">
        <f t="shared" si="10"/>
        <v>We File</v>
      </c>
      <c r="BE30" s="2" t="str">
        <f>("350 Veterans Way")</f>
        <v>350 Veterans Way</v>
      </c>
      <c r="BF30" s="2" t="str">
        <f>("46032")</f>
        <v>46032</v>
      </c>
      <c r="BG30" s="4">
        <v>0</v>
      </c>
      <c r="BH30" s="2">
        <v>20</v>
      </c>
      <c r="BI30" s="4">
        <v>0</v>
      </c>
      <c r="BJ30" s="4">
        <v>0</v>
      </c>
      <c r="BK30" s="4">
        <v>0</v>
      </c>
      <c r="BL30" s="4">
        <v>733.8</v>
      </c>
      <c r="BM30" s="2"/>
      <c r="BN30" s="2" t="str">
        <f t="shared" si="11"/>
        <v>Non Admitted</v>
      </c>
      <c r="BO30" s="2" t="b">
        <v>0</v>
      </c>
      <c r="BP30" s="2" t="b">
        <v>0</v>
      </c>
      <c r="BQ30" s="2"/>
      <c r="BR30" s="2" t="str">
        <f>("Vernal")</f>
        <v>Vernal</v>
      </c>
      <c r="BS30" s="2" t="str">
        <f t="shared" si="26"/>
        <v>Active</v>
      </c>
      <c r="BT30" s="3">
        <v>45064</v>
      </c>
    </row>
    <row r="31" spans="1:72" x14ac:dyDescent="0.25">
      <c r="A31" s="2" t="str">
        <f>("101379")</f>
        <v>101379</v>
      </c>
      <c r="B31" s="2" t="str">
        <f>("TIBAAN 0009010-00")</f>
        <v>TIBAAN 0009010-00</v>
      </c>
      <c r="C31" s="2" t="str">
        <f>("Kevin L.Wassum")</f>
        <v>Kevin L.Wassum</v>
      </c>
      <c r="D31" s="2" t="str">
        <f>("")</f>
        <v/>
      </c>
      <c r="E31" s="2" t="str">
        <f>("")</f>
        <v/>
      </c>
      <c r="F31" s="2" t="str">
        <f>("")</f>
        <v/>
      </c>
      <c r="G31" s="2" t="b">
        <v>0</v>
      </c>
      <c r="H31" s="2" t="str">
        <f>("INV45392")</f>
        <v>INV45392</v>
      </c>
      <c r="I31" s="3">
        <v>45064</v>
      </c>
      <c r="J31" s="3">
        <v>45064</v>
      </c>
      <c r="K31" s="3">
        <v>45430</v>
      </c>
      <c r="L31" s="2">
        <v>25</v>
      </c>
      <c r="M31" s="2">
        <v>15</v>
      </c>
      <c r="N31" s="4">
        <v>2505</v>
      </c>
      <c r="O31" s="4">
        <v>50.1</v>
      </c>
      <c r="P31" s="4">
        <v>0</v>
      </c>
      <c r="Q31" s="4">
        <v>250.5</v>
      </c>
      <c r="R31" s="2">
        <v>10</v>
      </c>
      <c r="S31" s="4">
        <v>626.25</v>
      </c>
      <c r="T31" s="4">
        <v>375.75</v>
      </c>
      <c r="U31" s="2" t="b">
        <v>0</v>
      </c>
      <c r="V31" s="2">
        <v>100</v>
      </c>
      <c r="W31" s="2" t="str">
        <f>("BEA1131")</f>
        <v>BEA1131</v>
      </c>
      <c r="X31" s="2" t="str">
        <f>("Travers &amp; Associates")</f>
        <v>Travers &amp; Associates</v>
      </c>
      <c r="Y31" s="2" t="str">
        <f>("MO - Saint Louis")</f>
        <v>MO - Saint Louis</v>
      </c>
      <c r="Z31" s="2" t="str">
        <f t="shared" si="0"/>
        <v>Active</v>
      </c>
      <c r="AA31" s="2" t="str">
        <f>("Kathryn Forbes")</f>
        <v>Kathryn Forbes</v>
      </c>
      <c r="AB31" s="2" t="str">
        <f t="shared" si="20"/>
        <v>mrk21</v>
      </c>
      <c r="AC31" s="2" t="str">
        <f t="shared" si="21"/>
        <v>Transverse Insurance Company</v>
      </c>
      <c r="AD31" s="2" t="str">
        <f t="shared" si="1"/>
        <v>Active</v>
      </c>
      <c r="AE31" s="2" t="str">
        <f t="shared" si="22"/>
        <v>rsk57</v>
      </c>
      <c r="AF31" s="2" t="str">
        <f t="shared" si="23"/>
        <v>Transverse Insurance Company</v>
      </c>
      <c r="AG31" s="2" t="str">
        <f>("")</f>
        <v/>
      </c>
      <c r="AH31" s="2" t="str">
        <f>("")</f>
        <v/>
      </c>
      <c r="AI31" s="2" t="str">
        <f t="shared" si="2"/>
        <v>Beacon</v>
      </c>
      <c r="AJ31" s="2" t="str">
        <f>("Britt Kral")</f>
        <v>Britt Kral</v>
      </c>
      <c r="AK31" s="2" t="str">
        <f t="shared" si="3"/>
        <v xml:space="preserve"> </v>
      </c>
      <c r="AL31" s="2" t="str">
        <f t="shared" si="4"/>
        <v>Beacon Aviation Insurance Services - FL</v>
      </c>
      <c r="AM31" s="2" t="str">
        <f>("Sharon Woods")</f>
        <v>Sharon Woods</v>
      </c>
      <c r="AN31" s="2" t="str">
        <f t="shared" si="6"/>
        <v xml:space="preserve"> </v>
      </c>
      <c r="AO31" s="2" t="str">
        <f t="shared" si="7"/>
        <v xml:space="preserve">Beacon Aviation Insurance Services </v>
      </c>
      <c r="AP31" s="2" t="str">
        <f t="shared" si="12"/>
        <v>Aircraft</v>
      </c>
      <c r="AQ31" s="2" t="str">
        <f t="shared" si="24"/>
        <v>Non-Commercial</v>
      </c>
      <c r="AR31" s="2" t="str">
        <f t="shared" si="27"/>
        <v>New Business</v>
      </c>
      <c r="AS31" s="2" t="str">
        <f t="shared" si="8"/>
        <v>New Business</v>
      </c>
      <c r="AT31" s="2"/>
      <c r="AU31" s="2"/>
      <c r="AV31" s="2" t="str">
        <f>("FL")</f>
        <v>FL</v>
      </c>
      <c r="AW31" s="3">
        <v>45069</v>
      </c>
      <c r="AX31" s="3">
        <v>45069</v>
      </c>
      <c r="AY31" s="3">
        <v>45069</v>
      </c>
      <c r="AZ31" s="2" t="b">
        <v>0</v>
      </c>
      <c r="BA31" s="2" t="b">
        <v>0</v>
      </c>
      <c r="BB31" s="2" t="str">
        <f t="shared" si="9"/>
        <v>Brokerage</v>
      </c>
      <c r="BC31" s="2" t="b">
        <v>0</v>
      </c>
      <c r="BD31" s="2" t="str">
        <f t="shared" si="10"/>
        <v>We File</v>
      </c>
      <c r="BE31" s="2" t="str">
        <f>("PO Box 220519")</f>
        <v>PO Box 220519</v>
      </c>
      <c r="BF31" s="2" t="str">
        <f>("63122")</f>
        <v>63122</v>
      </c>
      <c r="BG31" s="4">
        <v>0</v>
      </c>
      <c r="BH31" s="2">
        <v>10</v>
      </c>
      <c r="BI31" s="4">
        <v>0</v>
      </c>
      <c r="BJ31" s="4">
        <v>0</v>
      </c>
      <c r="BK31" s="4">
        <v>0</v>
      </c>
      <c r="BL31" s="4">
        <v>250.5</v>
      </c>
      <c r="BM31" s="2"/>
      <c r="BN31" s="2" t="str">
        <f t="shared" si="11"/>
        <v>Non Admitted</v>
      </c>
      <c r="BO31" s="2" t="b">
        <v>0</v>
      </c>
      <c r="BP31" s="2" t="b">
        <v>0</v>
      </c>
      <c r="BQ31" s="2"/>
      <c r="BR31" s="2" t="str">
        <f>("Apollo Beach")</f>
        <v>Apollo Beach</v>
      </c>
      <c r="BS31" s="2" t="str">
        <f t="shared" si="26"/>
        <v>Active</v>
      </c>
      <c r="BT31" s="3">
        <v>45064</v>
      </c>
    </row>
    <row r="32" spans="1:72" x14ac:dyDescent="0.25">
      <c r="A32" s="2" t="str">
        <f>("101384")</f>
        <v>101384</v>
      </c>
      <c r="B32" s="2" t="str">
        <f>("TIBAAN 0009011-00")</f>
        <v>TIBAAN 0009011-00</v>
      </c>
      <c r="C32" s="2" t="str">
        <f>("River Bay Aviation, LLC")</f>
        <v>River Bay Aviation, LLC</v>
      </c>
      <c r="D32" s="2" t="str">
        <f>("")</f>
        <v/>
      </c>
      <c r="E32" s="2" t="str">
        <f>("")</f>
        <v/>
      </c>
      <c r="F32" s="2" t="str">
        <f>("")</f>
        <v/>
      </c>
      <c r="G32" s="2" t="b">
        <v>0</v>
      </c>
      <c r="H32" s="2" t="str">
        <f>("INV45393")</f>
        <v>INV45393</v>
      </c>
      <c r="I32" s="3">
        <v>45064</v>
      </c>
      <c r="J32" s="3">
        <v>45064</v>
      </c>
      <c r="K32" s="3">
        <v>45430</v>
      </c>
      <c r="L32" s="2">
        <v>25</v>
      </c>
      <c r="M32" s="2">
        <v>15</v>
      </c>
      <c r="N32" s="4">
        <v>44471</v>
      </c>
      <c r="O32" s="4">
        <v>889.42</v>
      </c>
      <c r="P32" s="4">
        <v>0</v>
      </c>
      <c r="Q32" s="4">
        <v>4447.1000000000004</v>
      </c>
      <c r="R32" s="2">
        <v>10</v>
      </c>
      <c r="S32" s="4">
        <v>11117.75</v>
      </c>
      <c r="T32" s="4">
        <v>6670.65</v>
      </c>
      <c r="U32" s="2" t="b">
        <v>0</v>
      </c>
      <c r="V32" s="2">
        <v>100</v>
      </c>
      <c r="W32" s="2" t="str">
        <f>("BEA1131")</f>
        <v>BEA1131</v>
      </c>
      <c r="X32" s="2" t="str">
        <f>("Travers &amp; Associates")</f>
        <v>Travers &amp; Associates</v>
      </c>
      <c r="Y32" s="2" t="str">
        <f>("MO - Saint Louis")</f>
        <v>MO - Saint Louis</v>
      </c>
      <c r="Z32" s="2" t="str">
        <f t="shared" si="0"/>
        <v>Active</v>
      </c>
      <c r="AA32" s="2" t="str">
        <f>("Kathryn Forbes")</f>
        <v>Kathryn Forbes</v>
      </c>
      <c r="AB32" s="2" t="str">
        <f t="shared" si="20"/>
        <v>mrk21</v>
      </c>
      <c r="AC32" s="2" t="str">
        <f t="shared" si="21"/>
        <v>Transverse Insurance Company</v>
      </c>
      <c r="AD32" s="2" t="str">
        <f t="shared" si="1"/>
        <v>Active</v>
      </c>
      <c r="AE32" s="2" t="str">
        <f t="shared" si="22"/>
        <v>rsk57</v>
      </c>
      <c r="AF32" s="2" t="str">
        <f t="shared" si="23"/>
        <v>Transverse Insurance Company</v>
      </c>
      <c r="AG32" s="2" t="str">
        <f>("")</f>
        <v/>
      </c>
      <c r="AH32" s="2" t="str">
        <f>("")</f>
        <v/>
      </c>
      <c r="AI32" s="2" t="str">
        <f t="shared" si="2"/>
        <v>Beacon</v>
      </c>
      <c r="AJ32" s="2" t="str">
        <f>("Britt Kral")</f>
        <v>Britt Kral</v>
      </c>
      <c r="AK32" s="2" t="str">
        <f t="shared" si="3"/>
        <v xml:space="preserve"> </v>
      </c>
      <c r="AL32" s="2" t="str">
        <f t="shared" si="4"/>
        <v>Beacon Aviation Insurance Services - FL</v>
      </c>
      <c r="AM32" s="2" t="str">
        <f>("Sharon Woods")</f>
        <v>Sharon Woods</v>
      </c>
      <c r="AN32" s="2" t="str">
        <f t="shared" si="6"/>
        <v xml:space="preserve"> </v>
      </c>
      <c r="AO32" s="2" t="str">
        <f t="shared" si="7"/>
        <v xml:space="preserve">Beacon Aviation Insurance Services </v>
      </c>
      <c r="AP32" s="2" t="str">
        <f t="shared" si="12"/>
        <v>Aircraft</v>
      </c>
      <c r="AQ32" s="2" t="str">
        <f t="shared" si="24"/>
        <v>Non-Commercial</v>
      </c>
      <c r="AR32" s="2" t="str">
        <f t="shared" si="27"/>
        <v>New Business</v>
      </c>
      <c r="AS32" s="2" t="str">
        <f t="shared" si="8"/>
        <v>New Business</v>
      </c>
      <c r="AT32" s="2"/>
      <c r="AU32" s="2"/>
      <c r="AV32" s="2" t="str">
        <f>("FL")</f>
        <v>FL</v>
      </c>
      <c r="AW32" s="3">
        <v>45069</v>
      </c>
      <c r="AX32" s="3">
        <v>45069</v>
      </c>
      <c r="AY32" s="3">
        <v>45069</v>
      </c>
      <c r="AZ32" s="2" t="b">
        <v>0</v>
      </c>
      <c r="BA32" s="2" t="b">
        <v>0</v>
      </c>
      <c r="BB32" s="2" t="str">
        <f t="shared" si="9"/>
        <v>Brokerage</v>
      </c>
      <c r="BC32" s="2" t="b">
        <v>0</v>
      </c>
      <c r="BD32" s="2" t="str">
        <f t="shared" si="10"/>
        <v>We File</v>
      </c>
      <c r="BE32" s="2" t="str">
        <f>("PO Box 220519")</f>
        <v>PO Box 220519</v>
      </c>
      <c r="BF32" s="2" t="str">
        <f>("63122")</f>
        <v>63122</v>
      </c>
      <c r="BG32" s="4">
        <v>0</v>
      </c>
      <c r="BH32" s="2">
        <v>10</v>
      </c>
      <c r="BI32" s="4">
        <v>0</v>
      </c>
      <c r="BJ32" s="4">
        <v>0</v>
      </c>
      <c r="BK32" s="4">
        <v>0</v>
      </c>
      <c r="BL32" s="4">
        <v>4447.1000000000004</v>
      </c>
      <c r="BM32" s="2"/>
      <c r="BN32" s="2" t="str">
        <f t="shared" si="11"/>
        <v>Non Admitted</v>
      </c>
      <c r="BO32" s="2" t="b">
        <v>0</v>
      </c>
      <c r="BP32" s="2" t="b">
        <v>0</v>
      </c>
      <c r="BQ32" s="2"/>
      <c r="BR32" s="2" t="str">
        <f>("Jacksonville")</f>
        <v>Jacksonville</v>
      </c>
      <c r="BS32" s="2" t="str">
        <f t="shared" si="26"/>
        <v>Active</v>
      </c>
      <c r="BT32" s="3">
        <v>45064</v>
      </c>
    </row>
    <row r="33" spans="1:72" x14ac:dyDescent="0.25">
      <c r="A33" s="2" t="str">
        <f>("097585")</f>
        <v>097585</v>
      </c>
      <c r="B33" s="2" t="str">
        <f>("TIBAAN 0000097-00")</f>
        <v>TIBAAN 0000097-00</v>
      </c>
      <c r="C33" s="2" t="str">
        <f>("Access Electrical Contractors, Inc")</f>
        <v>Access Electrical Contractors, Inc</v>
      </c>
      <c r="D33" s="2" t="str">
        <f>("")</f>
        <v/>
      </c>
      <c r="E33" s="2" t="str">
        <f>("")</f>
        <v/>
      </c>
      <c r="F33" s="2" t="str">
        <f>("")</f>
        <v/>
      </c>
      <c r="G33" s="2" t="b">
        <v>0</v>
      </c>
      <c r="H33" s="2" t="str">
        <f>("INV45614")</f>
        <v>INV45614</v>
      </c>
      <c r="I33" s="3">
        <v>45065</v>
      </c>
      <c r="J33" s="3">
        <v>45065</v>
      </c>
      <c r="K33" s="3">
        <v>45431</v>
      </c>
      <c r="L33" s="2">
        <v>25</v>
      </c>
      <c r="M33" s="2">
        <v>15</v>
      </c>
      <c r="N33" s="4">
        <v>21380</v>
      </c>
      <c r="O33" s="4">
        <v>422.76</v>
      </c>
      <c r="P33" s="4">
        <v>0</v>
      </c>
      <c r="Q33" s="4">
        <v>2138</v>
      </c>
      <c r="R33" s="2">
        <v>10</v>
      </c>
      <c r="S33" s="4">
        <v>5345</v>
      </c>
      <c r="T33" s="4">
        <v>3207</v>
      </c>
      <c r="U33" s="2" t="b">
        <v>0</v>
      </c>
      <c r="V33" s="2">
        <v>100</v>
      </c>
      <c r="W33" s="2" t="str">
        <f>("BEA1035")</f>
        <v>BEA1035</v>
      </c>
      <c r="X33" s="2" t="str">
        <f>("Halton Hall &amp; Associates, Inc.")</f>
        <v>Halton Hall &amp; Associates, Inc.</v>
      </c>
      <c r="Y33" s="2" t="str">
        <f>("TX - Roanoke")</f>
        <v>TX - Roanoke</v>
      </c>
      <c r="Z33" s="2" t="str">
        <f t="shared" si="0"/>
        <v>Active</v>
      </c>
      <c r="AA33" s="2" t="str">
        <f>("Cara Morris")</f>
        <v>Cara Morris</v>
      </c>
      <c r="AB33" s="2" t="str">
        <f t="shared" si="20"/>
        <v>mrk21</v>
      </c>
      <c r="AC33" s="2" t="str">
        <f t="shared" si="21"/>
        <v>Transverse Insurance Company</v>
      </c>
      <c r="AD33" s="2" t="str">
        <f t="shared" si="1"/>
        <v>Active</v>
      </c>
      <c r="AE33" s="2" t="str">
        <f t="shared" si="22"/>
        <v>rsk57</v>
      </c>
      <c r="AF33" s="2" t="str">
        <f t="shared" si="23"/>
        <v>Transverse Insurance Company</v>
      </c>
      <c r="AG33" s="2" t="str">
        <f>("")</f>
        <v/>
      </c>
      <c r="AH33" s="2" t="str">
        <f>("")</f>
        <v/>
      </c>
      <c r="AI33" s="2" t="str">
        <f t="shared" si="2"/>
        <v>Beacon</v>
      </c>
      <c r="AJ33" s="2" t="str">
        <f>("Kate Rouker")</f>
        <v>Kate Rouker</v>
      </c>
      <c r="AK33" s="2" t="str">
        <f t="shared" si="3"/>
        <v xml:space="preserve"> </v>
      </c>
      <c r="AL33" s="2" t="str">
        <f t="shared" si="4"/>
        <v>Beacon Aviation Insurance Services - FL</v>
      </c>
      <c r="AM33" s="2" t="str">
        <f>("Deborah Stafford")</f>
        <v>Deborah Stafford</v>
      </c>
      <c r="AN33" s="2" t="str">
        <f t="shared" si="6"/>
        <v xml:space="preserve"> </v>
      </c>
      <c r="AO33" s="2" t="str">
        <f t="shared" si="7"/>
        <v xml:space="preserve">Beacon Aviation Insurance Services </v>
      </c>
      <c r="AP33" s="2" t="str">
        <f t="shared" si="12"/>
        <v>Aircraft</v>
      </c>
      <c r="AQ33" s="2" t="str">
        <f t="shared" si="24"/>
        <v>Non-Commercial</v>
      </c>
      <c r="AR33" s="2" t="str">
        <f t="shared" si="27"/>
        <v>New Business</v>
      </c>
      <c r="AS33" s="2" t="str">
        <f t="shared" si="8"/>
        <v>New Business</v>
      </c>
      <c r="AT33" s="2"/>
      <c r="AU33" s="2"/>
      <c r="AV33" s="2" t="str">
        <f>("FL")</f>
        <v>FL</v>
      </c>
      <c r="AW33" s="3">
        <v>45032</v>
      </c>
      <c r="AX33" s="3">
        <v>45070</v>
      </c>
      <c r="AY33" s="3">
        <v>45070</v>
      </c>
      <c r="AZ33" s="2" t="b">
        <v>0</v>
      </c>
      <c r="BA33" s="2" t="b">
        <v>0</v>
      </c>
      <c r="BB33" s="2" t="str">
        <f t="shared" si="9"/>
        <v>Brokerage</v>
      </c>
      <c r="BC33" s="2" t="b">
        <v>0</v>
      </c>
      <c r="BD33" s="2" t="str">
        <f t="shared" si="10"/>
        <v>We File</v>
      </c>
      <c r="BE33" s="2" t="str">
        <f>("310 Oak Street")</f>
        <v>310 Oak Street</v>
      </c>
      <c r="BF33" s="2" t="str">
        <f>("76262")</f>
        <v>76262</v>
      </c>
      <c r="BG33" s="4">
        <v>0</v>
      </c>
      <c r="BH33" s="2">
        <v>10</v>
      </c>
      <c r="BI33" s="4">
        <v>0</v>
      </c>
      <c r="BJ33" s="4">
        <v>0</v>
      </c>
      <c r="BK33" s="4">
        <v>0</v>
      </c>
      <c r="BL33" s="4">
        <v>2138</v>
      </c>
      <c r="BM33" s="2"/>
      <c r="BN33" s="2" t="str">
        <f t="shared" si="11"/>
        <v>Non Admitted</v>
      </c>
      <c r="BO33" s="2" t="b">
        <v>0</v>
      </c>
      <c r="BP33" s="2" t="b">
        <v>0</v>
      </c>
      <c r="BQ33" s="2"/>
      <c r="BR33" s="2" t="str">
        <f>("Jacksonville")</f>
        <v>Jacksonville</v>
      </c>
      <c r="BS33" s="2" t="str">
        <f t="shared" si="26"/>
        <v>Active</v>
      </c>
      <c r="BT33" s="3">
        <v>45065</v>
      </c>
    </row>
    <row r="34" spans="1:72" x14ac:dyDescent="0.25">
      <c r="A34" s="2" t="str">
        <f>("096810")</f>
        <v>096810</v>
      </c>
      <c r="B34" s="2" t="str">
        <f>("TIBAAN 0009013-00")</f>
        <v>TIBAAN 0009013-00</v>
      </c>
      <c r="C34" s="2" t="str">
        <f>("RichtAir, LLC and George Richter")</f>
        <v>RichtAir, LLC and George Richter</v>
      </c>
      <c r="D34" s="2" t="str">
        <f>("")</f>
        <v/>
      </c>
      <c r="E34" s="2" t="str">
        <f>("")</f>
        <v/>
      </c>
      <c r="F34" s="2" t="str">
        <f>("")</f>
        <v/>
      </c>
      <c r="G34" s="2" t="b">
        <v>0</v>
      </c>
      <c r="H34" s="2" t="str">
        <f>("INV45020")</f>
        <v>INV45020</v>
      </c>
      <c r="I34" s="3">
        <v>45068</v>
      </c>
      <c r="J34" s="3">
        <v>45068</v>
      </c>
      <c r="K34" s="3">
        <v>45434</v>
      </c>
      <c r="L34" s="2">
        <v>25</v>
      </c>
      <c r="M34" s="2">
        <v>15</v>
      </c>
      <c r="N34" s="4">
        <v>16918</v>
      </c>
      <c r="O34" s="4">
        <v>0</v>
      </c>
      <c r="P34" s="4">
        <v>0</v>
      </c>
      <c r="Q34" s="4">
        <v>1691.8</v>
      </c>
      <c r="R34" s="2">
        <v>10</v>
      </c>
      <c r="S34" s="4">
        <v>4229.5</v>
      </c>
      <c r="T34" s="4">
        <v>2537.6999999999998</v>
      </c>
      <c r="U34" s="2" t="b">
        <v>0</v>
      </c>
      <c r="V34" s="2">
        <v>100</v>
      </c>
      <c r="W34" s="2" t="str">
        <f>("BEA1022")</f>
        <v>BEA1022</v>
      </c>
      <c r="X34" s="2" t="str">
        <f>("Chappell, Smith &amp; Associates, Inc")</f>
        <v>Chappell, Smith &amp; Associates, Inc</v>
      </c>
      <c r="Y34" s="2" t="str">
        <f>("TN - Franklin")</f>
        <v>TN - Franklin</v>
      </c>
      <c r="Z34" s="2" t="str">
        <f t="shared" si="0"/>
        <v>Active</v>
      </c>
      <c r="AA34" s="2" t="str">
        <f>("James Fuszner")</f>
        <v>James Fuszner</v>
      </c>
      <c r="AB34" s="2" t="str">
        <f t="shared" si="20"/>
        <v>mrk21</v>
      </c>
      <c r="AC34" s="2" t="str">
        <f t="shared" si="21"/>
        <v>Transverse Insurance Company</v>
      </c>
      <c r="AD34" s="2" t="str">
        <f t="shared" si="1"/>
        <v>Active</v>
      </c>
      <c r="AE34" s="2" t="str">
        <f t="shared" si="22"/>
        <v>rsk57</v>
      </c>
      <c r="AF34" s="2" t="str">
        <f t="shared" si="23"/>
        <v>Transverse Insurance Company</v>
      </c>
      <c r="AG34" s="2" t="str">
        <f>("")</f>
        <v/>
      </c>
      <c r="AH34" s="2" t="str">
        <f>("")</f>
        <v/>
      </c>
      <c r="AI34" s="2" t="str">
        <f t="shared" si="2"/>
        <v>Beacon</v>
      </c>
      <c r="AJ34" s="2" t="str">
        <f>("Beacon GA UW")</f>
        <v>Beacon GA UW</v>
      </c>
      <c r="AK34" s="2" t="str">
        <f t="shared" si="3"/>
        <v xml:space="preserve"> </v>
      </c>
      <c r="AL34" s="2" t="str">
        <f t="shared" si="4"/>
        <v>Beacon Aviation Insurance Services - FL</v>
      </c>
      <c r="AM34" s="2" t="str">
        <f>("Deborah Stafford")</f>
        <v>Deborah Stafford</v>
      </c>
      <c r="AN34" s="2" t="str">
        <f t="shared" si="6"/>
        <v xml:space="preserve"> </v>
      </c>
      <c r="AO34" s="2" t="str">
        <f t="shared" si="7"/>
        <v xml:space="preserve">Beacon Aviation Insurance Services </v>
      </c>
      <c r="AP34" s="2" t="str">
        <f t="shared" si="12"/>
        <v>Aircraft</v>
      </c>
      <c r="AQ34" s="2" t="str">
        <f t="shared" si="24"/>
        <v>Non-Commercial</v>
      </c>
      <c r="AR34" s="2" t="str">
        <f t="shared" si="27"/>
        <v>New Business</v>
      </c>
      <c r="AS34" s="2" t="str">
        <f t="shared" si="8"/>
        <v>New Business</v>
      </c>
      <c r="AT34" s="2"/>
      <c r="AU34" s="2"/>
      <c r="AV34" s="2" t="str">
        <f>("GA")</f>
        <v>GA</v>
      </c>
      <c r="AW34" s="3">
        <v>45025</v>
      </c>
      <c r="AX34" s="3">
        <v>45065</v>
      </c>
      <c r="AY34" s="3">
        <v>45065</v>
      </c>
      <c r="AZ34" s="2" t="b">
        <v>0</v>
      </c>
      <c r="BA34" s="2" t="b">
        <v>0</v>
      </c>
      <c r="BB34" s="2" t="str">
        <f t="shared" si="9"/>
        <v>Brokerage</v>
      </c>
      <c r="BC34" s="2" t="b">
        <v>0</v>
      </c>
      <c r="BD34" s="2" t="str">
        <f t="shared" si="10"/>
        <v>We File</v>
      </c>
      <c r="BE34" s="2" t="str">
        <f>("PO Box 681209")</f>
        <v>PO Box 681209</v>
      </c>
      <c r="BF34" s="2" t="str">
        <f>("37068")</f>
        <v>37068</v>
      </c>
      <c r="BG34" s="4">
        <v>0</v>
      </c>
      <c r="BH34" s="2">
        <v>10</v>
      </c>
      <c r="BI34" s="4">
        <v>0</v>
      </c>
      <c r="BJ34" s="4">
        <v>0</v>
      </c>
      <c r="BK34" s="4">
        <v>0</v>
      </c>
      <c r="BL34" s="4">
        <v>1691.8</v>
      </c>
      <c r="BM34" s="2"/>
      <c r="BN34" s="2" t="str">
        <f t="shared" si="11"/>
        <v>Non Admitted</v>
      </c>
      <c r="BO34" s="2" t="b">
        <v>0</v>
      </c>
      <c r="BP34" s="2" t="b">
        <v>0</v>
      </c>
      <c r="BQ34" s="2"/>
      <c r="BR34" s="2" t="str">
        <f>("Atlanta")</f>
        <v>Atlanta</v>
      </c>
      <c r="BS34" s="2" t="str">
        <f t="shared" si="26"/>
        <v>Active</v>
      </c>
      <c r="BT34" s="3">
        <v>45068</v>
      </c>
    </row>
    <row r="35" spans="1:72" x14ac:dyDescent="0.25">
      <c r="A35" s="2" t="str">
        <f>("100349")</f>
        <v>100349</v>
      </c>
      <c r="B35" s="2" t="str">
        <f>("TIBAAN 0009014-00")</f>
        <v>TIBAAN 0009014-00</v>
      </c>
      <c r="C35" s="2" t="str">
        <f>("ZSAIR, LLC")</f>
        <v>ZSAIR, LLC</v>
      </c>
      <c r="D35" s="2" t="str">
        <f>("")</f>
        <v/>
      </c>
      <c r="E35" s="2" t="str">
        <f>("")</f>
        <v/>
      </c>
      <c r="F35" s="2" t="str">
        <f>("")</f>
        <v/>
      </c>
      <c r="G35" s="2" t="b">
        <v>0</v>
      </c>
      <c r="H35" s="2" t="str">
        <f>("INV45103")</f>
        <v>INV45103</v>
      </c>
      <c r="I35" s="3">
        <v>45068</v>
      </c>
      <c r="J35" s="3">
        <v>45068</v>
      </c>
      <c r="K35" s="3">
        <v>45434</v>
      </c>
      <c r="L35" s="2">
        <v>25</v>
      </c>
      <c r="M35" s="2">
        <v>15</v>
      </c>
      <c r="N35" s="4">
        <v>64215</v>
      </c>
      <c r="O35" s="4">
        <v>0</v>
      </c>
      <c r="P35" s="4">
        <v>0</v>
      </c>
      <c r="Q35" s="4">
        <v>6421.5</v>
      </c>
      <c r="R35" s="2">
        <v>10</v>
      </c>
      <c r="S35" s="4">
        <v>16053.75</v>
      </c>
      <c r="T35" s="4">
        <v>9632.25</v>
      </c>
      <c r="U35" s="2" t="b">
        <v>0</v>
      </c>
      <c r="V35" s="2">
        <v>100</v>
      </c>
      <c r="W35" s="2" t="str">
        <f>("BEA1131")</f>
        <v>BEA1131</v>
      </c>
      <c r="X35" s="2" t="str">
        <f>("Travers &amp; Associates")</f>
        <v>Travers &amp; Associates</v>
      </c>
      <c r="Y35" s="2" t="str">
        <f>("MO - Saint Louis")</f>
        <v>MO - Saint Louis</v>
      </c>
      <c r="Z35" s="2" t="str">
        <f t="shared" si="0"/>
        <v>Active</v>
      </c>
      <c r="AA35" s="2" t="str">
        <f>("Anna Rice")</f>
        <v>Anna Rice</v>
      </c>
      <c r="AB35" s="2" t="str">
        <f t="shared" si="20"/>
        <v>mrk21</v>
      </c>
      <c r="AC35" s="2" t="str">
        <f t="shared" si="21"/>
        <v>Transverse Insurance Company</v>
      </c>
      <c r="AD35" s="2" t="str">
        <f t="shared" si="1"/>
        <v>Active</v>
      </c>
      <c r="AE35" s="2" t="str">
        <f t="shared" si="22"/>
        <v>rsk57</v>
      </c>
      <c r="AF35" s="2" t="str">
        <f t="shared" si="23"/>
        <v>Transverse Insurance Company</v>
      </c>
      <c r="AG35" s="2" t="str">
        <f>("")</f>
        <v/>
      </c>
      <c r="AH35" s="2" t="str">
        <f>("")</f>
        <v/>
      </c>
      <c r="AI35" s="2" t="str">
        <f t="shared" si="2"/>
        <v>Beacon</v>
      </c>
      <c r="AJ35" s="2" t="str">
        <f>("Beacon GA UW")</f>
        <v>Beacon GA UW</v>
      </c>
      <c r="AK35" s="2" t="str">
        <f t="shared" si="3"/>
        <v xml:space="preserve"> </v>
      </c>
      <c r="AL35" s="2" t="str">
        <f t="shared" si="4"/>
        <v>Beacon Aviation Insurance Services - FL</v>
      </c>
      <c r="AM35" s="2" t="str">
        <f>("Sharon Woods")</f>
        <v>Sharon Woods</v>
      </c>
      <c r="AN35" s="2" t="str">
        <f t="shared" si="6"/>
        <v xml:space="preserve"> </v>
      </c>
      <c r="AO35" s="2" t="str">
        <f t="shared" si="7"/>
        <v xml:space="preserve">Beacon Aviation Insurance Services </v>
      </c>
      <c r="AP35" s="2" t="str">
        <f t="shared" si="12"/>
        <v>Aircraft</v>
      </c>
      <c r="AQ35" s="2" t="str">
        <f t="shared" si="24"/>
        <v>Non-Commercial</v>
      </c>
      <c r="AR35" s="2" t="str">
        <f t="shared" si="27"/>
        <v>New Business</v>
      </c>
      <c r="AS35" s="2" t="str">
        <f t="shared" si="8"/>
        <v>New Business</v>
      </c>
      <c r="AT35" s="2"/>
      <c r="AU35" s="2"/>
      <c r="AV35" s="2" t="str">
        <f>("WY")</f>
        <v>WY</v>
      </c>
      <c r="AW35" s="3">
        <v>45058</v>
      </c>
      <c r="AX35" s="3">
        <v>45068</v>
      </c>
      <c r="AY35" s="3">
        <v>45068</v>
      </c>
      <c r="AZ35" s="2" t="b">
        <v>0</v>
      </c>
      <c r="BA35" s="2" t="b">
        <v>0</v>
      </c>
      <c r="BB35" s="2" t="str">
        <f t="shared" si="9"/>
        <v>Brokerage</v>
      </c>
      <c r="BC35" s="2" t="b">
        <v>0</v>
      </c>
      <c r="BD35" s="2" t="str">
        <f t="shared" si="10"/>
        <v>We File</v>
      </c>
      <c r="BE35" s="2" t="str">
        <f>("PO Box 220519")</f>
        <v>PO Box 220519</v>
      </c>
      <c r="BF35" s="2" t="str">
        <f>("63122")</f>
        <v>63122</v>
      </c>
      <c r="BG35" s="4">
        <v>0</v>
      </c>
      <c r="BH35" s="2">
        <v>10</v>
      </c>
      <c r="BI35" s="4">
        <v>0</v>
      </c>
      <c r="BJ35" s="4">
        <v>0</v>
      </c>
      <c r="BK35" s="4">
        <v>0</v>
      </c>
      <c r="BL35" s="4">
        <v>6421.5</v>
      </c>
      <c r="BM35" s="2"/>
      <c r="BN35" s="2" t="str">
        <f t="shared" si="11"/>
        <v>Non Admitted</v>
      </c>
      <c r="BO35" s="2" t="b">
        <v>0</v>
      </c>
      <c r="BP35" s="2" t="b">
        <v>0</v>
      </c>
      <c r="BQ35" s="2"/>
      <c r="BR35" s="2" t="str">
        <f>("Casper")</f>
        <v>Casper</v>
      </c>
      <c r="BS35" s="2" t="str">
        <f t="shared" si="26"/>
        <v>Active</v>
      </c>
      <c r="BT35" s="3">
        <v>45068</v>
      </c>
    </row>
    <row r="36" spans="1:72" x14ac:dyDescent="0.25">
      <c r="A36" s="2" t="str">
        <f>("101602")</f>
        <v>101602</v>
      </c>
      <c r="B36" s="2" t="str">
        <f>("TIBAAN 0009016-00")</f>
        <v>TIBAAN 0009016-00</v>
      </c>
      <c r="C36" s="2" t="str">
        <f>("N603VK, LLC")</f>
        <v>N603VK, LLC</v>
      </c>
      <c r="D36" s="2" t="str">
        <f>("")</f>
        <v/>
      </c>
      <c r="E36" s="2" t="str">
        <f>("")</f>
        <v/>
      </c>
      <c r="F36" s="2" t="str">
        <f>("")</f>
        <v/>
      </c>
      <c r="G36" s="2" t="b">
        <v>0</v>
      </c>
      <c r="H36" s="2" t="str">
        <f>("INV46879")</f>
        <v>INV46879</v>
      </c>
      <c r="I36" s="3">
        <v>45069</v>
      </c>
      <c r="J36" s="3">
        <v>45069</v>
      </c>
      <c r="K36" s="3">
        <v>45435</v>
      </c>
      <c r="L36" s="2">
        <v>25</v>
      </c>
      <c r="M36" s="2">
        <v>15</v>
      </c>
      <c r="N36" s="4">
        <v>7208</v>
      </c>
      <c r="O36" s="4">
        <v>0</v>
      </c>
      <c r="P36" s="4">
        <v>0</v>
      </c>
      <c r="Q36" s="4">
        <v>720.8</v>
      </c>
      <c r="R36" s="2">
        <v>10</v>
      </c>
      <c r="S36" s="4">
        <v>1802</v>
      </c>
      <c r="T36" s="4">
        <v>1081.2</v>
      </c>
      <c r="U36" s="2" t="b">
        <v>0</v>
      </c>
      <c r="V36" s="2">
        <v>100</v>
      </c>
      <c r="W36" s="2" t="str">
        <f>("BEA1131")</f>
        <v>BEA1131</v>
      </c>
      <c r="X36" s="2" t="str">
        <f>("Travers &amp; Associates")</f>
        <v>Travers &amp; Associates</v>
      </c>
      <c r="Y36" s="2" t="str">
        <f>("MO - Saint Louis")</f>
        <v>MO - Saint Louis</v>
      </c>
      <c r="Z36" s="2" t="str">
        <f t="shared" si="0"/>
        <v>Active</v>
      </c>
      <c r="AA36" s="2" t="str">
        <f>("Madison Clipp")</f>
        <v>Madison Clipp</v>
      </c>
      <c r="AB36" s="2" t="str">
        <f t="shared" si="20"/>
        <v>mrk21</v>
      </c>
      <c r="AC36" s="2" t="str">
        <f t="shared" si="21"/>
        <v>Transverse Insurance Company</v>
      </c>
      <c r="AD36" s="2" t="str">
        <f t="shared" si="1"/>
        <v>Active</v>
      </c>
      <c r="AE36" s="2" t="str">
        <f t="shared" si="22"/>
        <v>rsk57</v>
      </c>
      <c r="AF36" s="2" t="str">
        <f t="shared" si="23"/>
        <v>Transverse Insurance Company</v>
      </c>
      <c r="AG36" s="2" t="str">
        <f>("")</f>
        <v/>
      </c>
      <c r="AH36" s="2" t="str">
        <f>("")</f>
        <v/>
      </c>
      <c r="AI36" s="2" t="str">
        <f t="shared" si="2"/>
        <v>Beacon</v>
      </c>
      <c r="AJ36" s="2" t="str">
        <f>("Britt Kral")</f>
        <v>Britt Kral</v>
      </c>
      <c r="AK36" s="2" t="str">
        <f t="shared" si="3"/>
        <v xml:space="preserve"> </v>
      </c>
      <c r="AL36" s="2" t="str">
        <f t="shared" si="4"/>
        <v>Beacon Aviation Insurance Services - FL</v>
      </c>
      <c r="AM36" s="2" t="str">
        <f>("Sharon Woods")</f>
        <v>Sharon Woods</v>
      </c>
      <c r="AN36" s="2" t="str">
        <f t="shared" si="6"/>
        <v xml:space="preserve"> </v>
      </c>
      <c r="AO36" s="2" t="str">
        <f t="shared" si="7"/>
        <v xml:space="preserve">Beacon Aviation Insurance Services </v>
      </c>
      <c r="AP36" s="2" t="str">
        <f t="shared" si="12"/>
        <v>Aircraft</v>
      </c>
      <c r="AQ36" s="2" t="str">
        <f t="shared" si="24"/>
        <v>Non-Commercial</v>
      </c>
      <c r="AR36" s="2" t="str">
        <f t="shared" si="27"/>
        <v>New Business</v>
      </c>
      <c r="AS36" s="2" t="str">
        <f t="shared" si="8"/>
        <v>New Business</v>
      </c>
      <c r="AT36" s="2"/>
      <c r="AU36" s="2"/>
      <c r="AV36" s="2" t="str">
        <f>("AL")</f>
        <v>AL</v>
      </c>
      <c r="AW36" s="3">
        <v>45070</v>
      </c>
      <c r="AX36" s="3">
        <v>45078</v>
      </c>
      <c r="AY36" s="3">
        <v>45078</v>
      </c>
      <c r="AZ36" s="2" t="b">
        <v>0</v>
      </c>
      <c r="BA36" s="2" t="b">
        <v>0</v>
      </c>
      <c r="BB36" s="2" t="str">
        <f t="shared" si="9"/>
        <v>Brokerage</v>
      </c>
      <c r="BC36" s="2" t="b">
        <v>0</v>
      </c>
      <c r="BD36" s="2" t="str">
        <f t="shared" si="10"/>
        <v>We File</v>
      </c>
      <c r="BE36" s="2" t="str">
        <f>("PO Box 220519")</f>
        <v>PO Box 220519</v>
      </c>
      <c r="BF36" s="2" t="str">
        <f>("63122")</f>
        <v>63122</v>
      </c>
      <c r="BG36" s="4">
        <v>0</v>
      </c>
      <c r="BH36" s="2">
        <v>10</v>
      </c>
      <c r="BI36" s="4">
        <v>0</v>
      </c>
      <c r="BJ36" s="4">
        <v>0</v>
      </c>
      <c r="BK36" s="4">
        <v>0</v>
      </c>
      <c r="BL36" s="4">
        <v>720.8</v>
      </c>
      <c r="BM36" s="2"/>
      <c r="BN36" s="2" t="str">
        <f t="shared" si="11"/>
        <v>Non Admitted</v>
      </c>
      <c r="BO36" s="2" t="b">
        <v>0</v>
      </c>
      <c r="BP36" s="2" t="b">
        <v>0</v>
      </c>
      <c r="BQ36" s="2"/>
      <c r="BR36" s="2" t="str">
        <f>("Huntsville")</f>
        <v>Huntsville</v>
      </c>
      <c r="BS36" s="2" t="str">
        <f t="shared" si="26"/>
        <v>Active</v>
      </c>
      <c r="BT36" s="3">
        <v>45069</v>
      </c>
    </row>
    <row r="37" spans="1:72" x14ac:dyDescent="0.25">
      <c r="A37" s="2" t="str">
        <f>("092010")</f>
        <v>092010</v>
      </c>
      <c r="B37" s="2" t="str">
        <f>("TIBAAN 0000064-00")</f>
        <v>TIBAAN 0000064-00</v>
      </c>
      <c r="C37" s="2" t="str">
        <f>("Niyol Aviation LLC")</f>
        <v>Niyol Aviation LLC</v>
      </c>
      <c r="D37" s="2" t="str">
        <f>("")</f>
        <v/>
      </c>
      <c r="E37" s="2" t="str">
        <f>("")</f>
        <v/>
      </c>
      <c r="F37" s="2" t="str">
        <f>("Endorsement")</f>
        <v>Endorsement</v>
      </c>
      <c r="G37" s="2" t="b">
        <v>0</v>
      </c>
      <c r="H37" s="2" t="str">
        <f>("INV46076")</f>
        <v>INV46076</v>
      </c>
      <c r="I37" s="3">
        <v>45069</v>
      </c>
      <c r="J37" s="3">
        <v>45005</v>
      </c>
      <c r="K37" s="3">
        <v>45371</v>
      </c>
      <c r="L37" s="2">
        <v>25</v>
      </c>
      <c r="M37" s="2">
        <v>15</v>
      </c>
      <c r="N37" s="4">
        <v>2737.8</v>
      </c>
      <c r="O37" s="4">
        <v>0</v>
      </c>
      <c r="P37" s="4">
        <v>0</v>
      </c>
      <c r="Q37" s="4">
        <v>273.77999999999997</v>
      </c>
      <c r="R37" s="2">
        <v>10</v>
      </c>
      <c r="S37" s="4">
        <v>684.45</v>
      </c>
      <c r="T37" s="4">
        <v>410.67</v>
      </c>
      <c r="U37" s="2" t="b">
        <v>0</v>
      </c>
      <c r="V37" s="2">
        <v>100</v>
      </c>
      <c r="W37" s="2" t="str">
        <f>("BEA1131")</f>
        <v>BEA1131</v>
      </c>
      <c r="X37" s="2" t="str">
        <f>("Travers &amp; Associates")</f>
        <v>Travers &amp; Associates</v>
      </c>
      <c r="Y37" s="2" t="str">
        <f>("MO - Saint Louis")</f>
        <v>MO - Saint Louis</v>
      </c>
      <c r="Z37" s="2" t="str">
        <f t="shared" si="0"/>
        <v>Active</v>
      </c>
      <c r="AA37" s="2" t="str">
        <f>("Lisa Hitti")</f>
        <v>Lisa Hitti</v>
      </c>
      <c r="AB37" s="2" t="str">
        <f t="shared" si="20"/>
        <v>mrk21</v>
      </c>
      <c r="AC37" s="2" t="str">
        <f t="shared" si="21"/>
        <v>Transverse Insurance Company</v>
      </c>
      <c r="AD37" s="2" t="str">
        <f t="shared" si="1"/>
        <v>Active</v>
      </c>
      <c r="AE37" s="2" t="str">
        <f t="shared" si="22"/>
        <v>rsk57</v>
      </c>
      <c r="AF37" s="2" t="str">
        <f t="shared" si="23"/>
        <v>Transverse Insurance Company</v>
      </c>
      <c r="AG37" s="2" t="str">
        <f>("")</f>
        <v/>
      </c>
      <c r="AH37" s="2" t="str">
        <f>("")</f>
        <v/>
      </c>
      <c r="AI37" s="2" t="str">
        <f t="shared" si="2"/>
        <v>Beacon</v>
      </c>
      <c r="AJ37" s="2" t="str">
        <f>("Britt Kral")</f>
        <v>Britt Kral</v>
      </c>
      <c r="AK37" s="2" t="str">
        <f t="shared" si="3"/>
        <v xml:space="preserve"> </v>
      </c>
      <c r="AL37" s="2" t="str">
        <f t="shared" si="4"/>
        <v>Beacon Aviation Insurance Services - FL</v>
      </c>
      <c r="AM37" s="2" t="str">
        <f>("Deborah Stafford")</f>
        <v>Deborah Stafford</v>
      </c>
      <c r="AN37" s="2" t="str">
        <f t="shared" si="6"/>
        <v xml:space="preserve"> </v>
      </c>
      <c r="AO37" s="2" t="str">
        <f t="shared" si="7"/>
        <v xml:space="preserve">Beacon Aviation Insurance Services </v>
      </c>
      <c r="AP37" s="2" t="str">
        <f t="shared" si="12"/>
        <v>Aircraft</v>
      </c>
      <c r="AQ37" s="2" t="str">
        <f t="shared" si="24"/>
        <v>Non-Commercial</v>
      </c>
      <c r="AR37" s="2" t="str">
        <f>("Endorsement")</f>
        <v>Endorsement</v>
      </c>
      <c r="AS37" s="2" t="str">
        <f t="shared" si="8"/>
        <v>New Business</v>
      </c>
      <c r="AT37" s="2"/>
      <c r="AU37" s="2"/>
      <c r="AV37" s="2" t="str">
        <f>("TX")</f>
        <v>TX</v>
      </c>
      <c r="AW37" s="3">
        <v>44981</v>
      </c>
      <c r="AX37" s="3">
        <v>45007</v>
      </c>
      <c r="AY37" s="3">
        <v>45071</v>
      </c>
      <c r="AZ37" s="2" t="b">
        <v>0</v>
      </c>
      <c r="BA37" s="2" t="b">
        <v>0</v>
      </c>
      <c r="BB37" s="2" t="str">
        <f t="shared" si="9"/>
        <v>Brokerage</v>
      </c>
      <c r="BC37" s="2" t="b">
        <v>0</v>
      </c>
      <c r="BD37" s="2" t="str">
        <f t="shared" si="10"/>
        <v>We File</v>
      </c>
      <c r="BE37" s="2" t="str">
        <f>("PO Box 220519")</f>
        <v>PO Box 220519</v>
      </c>
      <c r="BF37" s="2" t="str">
        <f>("63122")</f>
        <v>63122</v>
      </c>
      <c r="BG37" s="4">
        <v>0</v>
      </c>
      <c r="BH37" s="2">
        <v>10</v>
      </c>
      <c r="BI37" s="4">
        <v>0</v>
      </c>
      <c r="BJ37" s="4">
        <v>0</v>
      </c>
      <c r="BK37" s="4">
        <v>0</v>
      </c>
      <c r="BL37" s="4">
        <v>273.77999999999997</v>
      </c>
      <c r="BM37" s="2"/>
      <c r="BN37" s="2" t="str">
        <f t="shared" si="11"/>
        <v>Non Admitted</v>
      </c>
      <c r="BO37" s="2" t="b">
        <v>0</v>
      </c>
      <c r="BP37" s="2" t="b">
        <v>0</v>
      </c>
      <c r="BQ37" s="2"/>
      <c r="BR37" s="2" t="str">
        <f>("Irving")</f>
        <v>Irving</v>
      </c>
      <c r="BS37" s="2" t="str">
        <f t="shared" si="26"/>
        <v>Active</v>
      </c>
      <c r="BT37" s="3">
        <v>45069</v>
      </c>
    </row>
    <row r="38" spans="1:72" x14ac:dyDescent="0.25">
      <c r="A38" s="2" t="str">
        <f>("092010")</f>
        <v>092010</v>
      </c>
      <c r="B38" s="2" t="str">
        <f>("TIBAAN 0000064-00")</f>
        <v>TIBAAN 0000064-00</v>
      </c>
      <c r="C38" s="2" t="str">
        <f>("Niyol Aviation LLC")</f>
        <v>Niyol Aviation LLC</v>
      </c>
      <c r="D38" s="2" t="str">
        <f>("")</f>
        <v/>
      </c>
      <c r="E38" s="2" t="str">
        <f>("")</f>
        <v/>
      </c>
      <c r="F38" s="2" t="str">
        <f>("Endorsement")</f>
        <v>Endorsement</v>
      </c>
      <c r="G38" s="2" t="b">
        <v>0</v>
      </c>
      <c r="H38" s="2" t="str">
        <f>("INV46084")</f>
        <v>INV46084</v>
      </c>
      <c r="I38" s="3">
        <v>45069</v>
      </c>
      <c r="J38" s="3">
        <v>45005</v>
      </c>
      <c r="K38" s="3">
        <v>45371</v>
      </c>
      <c r="L38" s="2">
        <v>25</v>
      </c>
      <c r="M38" s="2">
        <v>15</v>
      </c>
      <c r="N38" s="4">
        <v>-2737.8</v>
      </c>
      <c r="O38" s="4">
        <v>0</v>
      </c>
      <c r="P38" s="4">
        <v>0</v>
      </c>
      <c r="Q38" s="4">
        <v>-273.77999999999997</v>
      </c>
      <c r="R38" s="2">
        <v>10</v>
      </c>
      <c r="S38" s="4">
        <v>-684.45</v>
      </c>
      <c r="T38" s="4">
        <v>-410.67</v>
      </c>
      <c r="U38" s="2" t="b">
        <v>0</v>
      </c>
      <c r="V38" s="2">
        <v>100</v>
      </c>
      <c r="W38" s="2" t="str">
        <f>("BEA1131")</f>
        <v>BEA1131</v>
      </c>
      <c r="X38" s="2" t="str">
        <f>("Travers &amp; Associates")</f>
        <v>Travers &amp; Associates</v>
      </c>
      <c r="Y38" s="2" t="str">
        <f>("MO - Saint Louis")</f>
        <v>MO - Saint Louis</v>
      </c>
      <c r="Z38" s="2" t="str">
        <f t="shared" si="0"/>
        <v>Active</v>
      </c>
      <c r="AA38" s="2" t="str">
        <f>("Lisa Hitti")</f>
        <v>Lisa Hitti</v>
      </c>
      <c r="AB38" s="2" t="str">
        <f t="shared" si="20"/>
        <v>mrk21</v>
      </c>
      <c r="AC38" s="2" t="str">
        <f t="shared" si="21"/>
        <v>Transverse Insurance Company</v>
      </c>
      <c r="AD38" s="2" t="str">
        <f t="shared" si="1"/>
        <v>Active</v>
      </c>
      <c r="AE38" s="2" t="str">
        <f t="shared" si="22"/>
        <v>rsk57</v>
      </c>
      <c r="AF38" s="2" t="str">
        <f t="shared" si="23"/>
        <v>Transverse Insurance Company</v>
      </c>
      <c r="AG38" s="2" t="str">
        <f>("")</f>
        <v/>
      </c>
      <c r="AH38" s="2" t="str">
        <f>("")</f>
        <v/>
      </c>
      <c r="AI38" s="2" t="str">
        <f t="shared" si="2"/>
        <v>Beacon</v>
      </c>
      <c r="AJ38" s="2" t="str">
        <f>("Britt Kral")</f>
        <v>Britt Kral</v>
      </c>
      <c r="AK38" s="2" t="str">
        <f t="shared" si="3"/>
        <v xml:space="preserve"> </v>
      </c>
      <c r="AL38" s="2" t="str">
        <f t="shared" si="4"/>
        <v>Beacon Aviation Insurance Services - FL</v>
      </c>
      <c r="AM38" s="2" t="str">
        <f>("Deborah Stafford")</f>
        <v>Deborah Stafford</v>
      </c>
      <c r="AN38" s="2" t="str">
        <f t="shared" si="6"/>
        <v xml:space="preserve"> </v>
      </c>
      <c r="AO38" s="2" t="str">
        <f t="shared" si="7"/>
        <v xml:space="preserve">Beacon Aviation Insurance Services </v>
      </c>
      <c r="AP38" s="2" t="str">
        <f t="shared" si="12"/>
        <v>Aircraft</v>
      </c>
      <c r="AQ38" s="2" t="str">
        <f t="shared" si="24"/>
        <v>Non-Commercial</v>
      </c>
      <c r="AR38" s="2" t="str">
        <f>("Endorsement")</f>
        <v>Endorsement</v>
      </c>
      <c r="AS38" s="2" t="str">
        <f t="shared" si="8"/>
        <v>New Business</v>
      </c>
      <c r="AT38" s="2"/>
      <c r="AU38" s="2"/>
      <c r="AV38" s="2" t="str">
        <f>("TX")</f>
        <v>TX</v>
      </c>
      <c r="AW38" s="3">
        <v>44981</v>
      </c>
      <c r="AX38" s="3">
        <v>45007</v>
      </c>
      <c r="AY38" s="3">
        <v>45071</v>
      </c>
      <c r="AZ38" s="2" t="b">
        <v>0</v>
      </c>
      <c r="BA38" s="2" t="b">
        <v>0</v>
      </c>
      <c r="BB38" s="2" t="str">
        <f t="shared" si="9"/>
        <v>Brokerage</v>
      </c>
      <c r="BC38" s="2" t="b">
        <v>0</v>
      </c>
      <c r="BD38" s="2" t="str">
        <f t="shared" si="10"/>
        <v>We File</v>
      </c>
      <c r="BE38" s="2" t="str">
        <f>("PO Box 220519")</f>
        <v>PO Box 220519</v>
      </c>
      <c r="BF38" s="2" t="str">
        <f>("63122")</f>
        <v>63122</v>
      </c>
      <c r="BG38" s="4">
        <v>0</v>
      </c>
      <c r="BH38" s="2">
        <v>10</v>
      </c>
      <c r="BI38" s="4">
        <v>0</v>
      </c>
      <c r="BJ38" s="4">
        <v>0</v>
      </c>
      <c r="BK38" s="4">
        <v>0</v>
      </c>
      <c r="BL38" s="4">
        <v>-273.77999999999997</v>
      </c>
      <c r="BM38" s="2"/>
      <c r="BN38" s="2" t="str">
        <f t="shared" si="11"/>
        <v>Non Admitted</v>
      </c>
      <c r="BO38" s="2" t="b">
        <v>0</v>
      </c>
      <c r="BP38" s="2" t="b">
        <v>0</v>
      </c>
      <c r="BQ38" s="2"/>
      <c r="BR38" s="2" t="str">
        <f>("Irving")</f>
        <v>Irving</v>
      </c>
      <c r="BS38" s="2" t="str">
        <f t="shared" si="26"/>
        <v>Active</v>
      </c>
      <c r="BT38" s="3">
        <v>45069</v>
      </c>
    </row>
    <row r="39" spans="1:72" x14ac:dyDescent="0.25">
      <c r="A39" s="2" t="str">
        <f>("092010")</f>
        <v>092010</v>
      </c>
      <c r="B39" s="2" t="str">
        <f>("TIBAAN 0000064-00")</f>
        <v>TIBAAN 0000064-00</v>
      </c>
      <c r="C39" s="2" t="str">
        <f>("Niyol Aviation LLC")</f>
        <v>Niyol Aviation LLC</v>
      </c>
      <c r="D39" s="2" t="str">
        <f>("")</f>
        <v/>
      </c>
      <c r="E39" s="2" t="str">
        <f>("")</f>
        <v/>
      </c>
      <c r="F39" s="2" t="str">
        <f>("Endorsement")</f>
        <v>Endorsement</v>
      </c>
      <c r="G39" s="2" t="b">
        <v>0</v>
      </c>
      <c r="H39" s="2" t="str">
        <f>("INV46085")</f>
        <v>INV46085</v>
      </c>
      <c r="I39" s="3">
        <v>45069</v>
      </c>
      <c r="J39" s="3">
        <v>45005</v>
      </c>
      <c r="K39" s="3">
        <v>45371</v>
      </c>
      <c r="L39" s="2">
        <v>25</v>
      </c>
      <c r="M39" s="2">
        <v>15</v>
      </c>
      <c r="N39" s="4">
        <v>2533.17</v>
      </c>
      <c r="O39" s="4">
        <v>0</v>
      </c>
      <c r="P39" s="4">
        <v>0</v>
      </c>
      <c r="Q39" s="4">
        <v>253.31</v>
      </c>
      <c r="R39" s="2">
        <v>10</v>
      </c>
      <c r="S39" s="4">
        <v>633.29</v>
      </c>
      <c r="T39" s="4">
        <v>379.98</v>
      </c>
      <c r="U39" s="2" t="b">
        <v>0</v>
      </c>
      <c r="V39" s="2">
        <v>100</v>
      </c>
      <c r="W39" s="2" t="str">
        <f>("BEA1131")</f>
        <v>BEA1131</v>
      </c>
      <c r="X39" s="2" t="str">
        <f>("Travers &amp; Associates")</f>
        <v>Travers &amp; Associates</v>
      </c>
      <c r="Y39" s="2" t="str">
        <f>("MO - Saint Louis")</f>
        <v>MO - Saint Louis</v>
      </c>
      <c r="Z39" s="2" t="str">
        <f t="shared" si="0"/>
        <v>Active</v>
      </c>
      <c r="AA39" s="2" t="str">
        <f>("Lisa Hitti")</f>
        <v>Lisa Hitti</v>
      </c>
      <c r="AB39" s="2" t="str">
        <f t="shared" si="20"/>
        <v>mrk21</v>
      </c>
      <c r="AC39" s="2" t="str">
        <f t="shared" si="21"/>
        <v>Transverse Insurance Company</v>
      </c>
      <c r="AD39" s="2" t="str">
        <f t="shared" si="1"/>
        <v>Active</v>
      </c>
      <c r="AE39" s="2" t="str">
        <f t="shared" si="22"/>
        <v>rsk57</v>
      </c>
      <c r="AF39" s="2" t="str">
        <f t="shared" si="23"/>
        <v>Transverse Insurance Company</v>
      </c>
      <c r="AG39" s="2" t="str">
        <f>("")</f>
        <v/>
      </c>
      <c r="AH39" s="2" t="str">
        <f>("")</f>
        <v/>
      </c>
      <c r="AI39" s="2" t="str">
        <f t="shared" si="2"/>
        <v>Beacon</v>
      </c>
      <c r="AJ39" s="2" t="str">
        <f>("Britt Kral")</f>
        <v>Britt Kral</v>
      </c>
      <c r="AK39" s="2" t="str">
        <f t="shared" si="3"/>
        <v xml:space="preserve"> </v>
      </c>
      <c r="AL39" s="2" t="str">
        <f t="shared" si="4"/>
        <v>Beacon Aviation Insurance Services - FL</v>
      </c>
      <c r="AM39" s="2" t="str">
        <f>("Deborah Stafford")</f>
        <v>Deborah Stafford</v>
      </c>
      <c r="AN39" s="2" t="str">
        <f t="shared" si="6"/>
        <v xml:space="preserve"> </v>
      </c>
      <c r="AO39" s="2" t="str">
        <f t="shared" si="7"/>
        <v xml:space="preserve">Beacon Aviation Insurance Services </v>
      </c>
      <c r="AP39" s="2" t="str">
        <f t="shared" si="12"/>
        <v>Aircraft</v>
      </c>
      <c r="AQ39" s="2" t="str">
        <f t="shared" si="24"/>
        <v>Non-Commercial</v>
      </c>
      <c r="AR39" s="2" t="str">
        <f>("Endorsement")</f>
        <v>Endorsement</v>
      </c>
      <c r="AS39" s="2" t="str">
        <f t="shared" si="8"/>
        <v>New Business</v>
      </c>
      <c r="AT39" s="2"/>
      <c r="AU39" s="2"/>
      <c r="AV39" s="2" t="str">
        <f>("TX")</f>
        <v>TX</v>
      </c>
      <c r="AW39" s="3">
        <v>44981</v>
      </c>
      <c r="AX39" s="3">
        <v>45007</v>
      </c>
      <c r="AY39" s="3">
        <v>45071</v>
      </c>
      <c r="AZ39" s="2" t="b">
        <v>0</v>
      </c>
      <c r="BA39" s="2" t="b">
        <v>0</v>
      </c>
      <c r="BB39" s="2" t="str">
        <f t="shared" si="9"/>
        <v>Brokerage</v>
      </c>
      <c r="BC39" s="2" t="b">
        <v>0</v>
      </c>
      <c r="BD39" s="2" t="str">
        <f t="shared" si="10"/>
        <v>We File</v>
      </c>
      <c r="BE39" s="2" t="str">
        <f>("PO Box 220519")</f>
        <v>PO Box 220519</v>
      </c>
      <c r="BF39" s="2" t="str">
        <f>("63122")</f>
        <v>63122</v>
      </c>
      <c r="BG39" s="4">
        <v>0</v>
      </c>
      <c r="BH39" s="2">
        <v>10</v>
      </c>
      <c r="BI39" s="4">
        <v>0</v>
      </c>
      <c r="BJ39" s="4">
        <v>0</v>
      </c>
      <c r="BK39" s="4">
        <v>0</v>
      </c>
      <c r="BL39" s="4">
        <v>253.31</v>
      </c>
      <c r="BM39" s="2"/>
      <c r="BN39" s="2" t="str">
        <f t="shared" si="11"/>
        <v>Non Admitted</v>
      </c>
      <c r="BO39" s="2" t="b">
        <v>0</v>
      </c>
      <c r="BP39" s="2" t="b">
        <v>0</v>
      </c>
      <c r="BQ39" s="2"/>
      <c r="BR39" s="2" t="str">
        <f>("Irving")</f>
        <v>Irving</v>
      </c>
      <c r="BS39" s="2" t="str">
        <f t="shared" si="26"/>
        <v>Active</v>
      </c>
      <c r="BT39" s="3">
        <v>45069</v>
      </c>
    </row>
    <row r="40" spans="1:72" x14ac:dyDescent="0.25">
      <c r="A40" s="2" t="str">
        <f>("098695")</f>
        <v>098695</v>
      </c>
      <c r="B40" s="2" t="str">
        <f>("TIBAAN 0000096-00")</f>
        <v>TIBAAN 0000096-00</v>
      </c>
      <c r="C40" s="2" t="str">
        <f>("Imago DEI Ventures, LLC")</f>
        <v>Imago DEI Ventures, LLC</v>
      </c>
      <c r="D40" s="2" t="str">
        <f>("")</f>
        <v/>
      </c>
      <c r="E40" s="2" t="str">
        <f>("")</f>
        <v/>
      </c>
      <c r="F40" s="2" t="str">
        <f>("")</f>
        <v/>
      </c>
      <c r="G40" s="2" t="b">
        <v>0</v>
      </c>
      <c r="H40" s="2" t="str">
        <f>("INV46685")</f>
        <v>INV46685</v>
      </c>
      <c r="I40" s="3">
        <v>45070</v>
      </c>
      <c r="J40" s="3">
        <v>45070</v>
      </c>
      <c r="K40" s="3">
        <v>45436</v>
      </c>
      <c r="L40" s="2">
        <v>25</v>
      </c>
      <c r="M40" s="2">
        <v>15</v>
      </c>
      <c r="N40" s="4">
        <v>16373.4</v>
      </c>
      <c r="O40" s="4">
        <v>0</v>
      </c>
      <c r="P40" s="4">
        <v>0</v>
      </c>
      <c r="Q40" s="4">
        <v>1637.34</v>
      </c>
      <c r="R40" s="2">
        <v>10</v>
      </c>
      <c r="S40" s="4">
        <v>4093.35</v>
      </c>
      <c r="T40" s="4">
        <v>2456.0100000000002</v>
      </c>
      <c r="U40" s="2" t="b">
        <v>0</v>
      </c>
      <c r="V40" s="2">
        <v>100</v>
      </c>
      <c r="W40" s="2" t="str">
        <f>("BEA1638")</f>
        <v>BEA1638</v>
      </c>
      <c r="X40" s="2" t="str">
        <f>("Assured Partners Aerospace LLC")</f>
        <v>Assured Partners Aerospace LLC</v>
      </c>
      <c r="Y40" s="2" t="str">
        <f>("CO - Golden")</f>
        <v>CO - Golden</v>
      </c>
      <c r="Z40" s="2" t="str">
        <f t="shared" si="0"/>
        <v>Active</v>
      </c>
      <c r="AA40" s="2" t="str">
        <f>("Josh Jabour")</f>
        <v>Josh Jabour</v>
      </c>
      <c r="AB40" s="2" t="str">
        <f t="shared" si="20"/>
        <v>mrk21</v>
      </c>
      <c r="AC40" s="2" t="str">
        <f t="shared" si="21"/>
        <v>Transverse Insurance Company</v>
      </c>
      <c r="AD40" s="2" t="str">
        <f t="shared" si="1"/>
        <v>Active</v>
      </c>
      <c r="AE40" s="2" t="str">
        <f t="shared" si="22"/>
        <v>rsk57</v>
      </c>
      <c r="AF40" s="2" t="str">
        <f t="shared" si="23"/>
        <v>Transverse Insurance Company</v>
      </c>
      <c r="AG40" s="2" t="str">
        <f>("")</f>
        <v/>
      </c>
      <c r="AH40" s="2" t="str">
        <f>("")</f>
        <v/>
      </c>
      <c r="AI40" s="2" t="str">
        <f t="shared" si="2"/>
        <v>Beacon</v>
      </c>
      <c r="AJ40" s="2" t="str">
        <f>("Britt Kral")</f>
        <v>Britt Kral</v>
      </c>
      <c r="AK40" s="2" t="str">
        <f t="shared" si="3"/>
        <v xml:space="preserve"> </v>
      </c>
      <c r="AL40" s="2" t="str">
        <f t="shared" si="4"/>
        <v>Beacon Aviation Insurance Services - FL</v>
      </c>
      <c r="AM40" s="2" t="str">
        <f>("Sharon Woods")</f>
        <v>Sharon Woods</v>
      </c>
      <c r="AN40" s="2" t="str">
        <f t="shared" si="6"/>
        <v xml:space="preserve"> </v>
      </c>
      <c r="AO40" s="2" t="str">
        <f t="shared" si="7"/>
        <v xml:space="preserve">Beacon Aviation Insurance Services </v>
      </c>
      <c r="AP40" s="2" t="str">
        <f t="shared" si="12"/>
        <v>Aircraft</v>
      </c>
      <c r="AQ40" s="2" t="str">
        <f t="shared" si="24"/>
        <v>Non-Commercial</v>
      </c>
      <c r="AR40" s="2" t="str">
        <f>("New Business")</f>
        <v>New Business</v>
      </c>
      <c r="AS40" s="2" t="str">
        <f t="shared" si="8"/>
        <v>New Business</v>
      </c>
      <c r="AT40" s="2"/>
      <c r="AU40" s="2"/>
      <c r="AV40" s="2" t="str">
        <f>("NC")</f>
        <v>NC</v>
      </c>
      <c r="AW40" s="3">
        <v>45043</v>
      </c>
      <c r="AX40" s="3">
        <v>45077</v>
      </c>
      <c r="AY40" s="3">
        <v>45077</v>
      </c>
      <c r="AZ40" s="2" t="b">
        <v>0</v>
      </c>
      <c r="BA40" s="2" t="b">
        <v>0</v>
      </c>
      <c r="BB40" s="2" t="str">
        <f t="shared" si="9"/>
        <v>Brokerage</v>
      </c>
      <c r="BC40" s="2" t="b">
        <v>0</v>
      </c>
      <c r="BD40" s="2" t="str">
        <f t="shared" si="10"/>
        <v>We File</v>
      </c>
      <c r="BE40" s="2" t="str">
        <f>("25548 Genesee Trail Road")</f>
        <v>25548 Genesee Trail Road</v>
      </c>
      <c r="BF40" s="2" t="str">
        <f>("80401")</f>
        <v>80401</v>
      </c>
      <c r="BG40" s="4">
        <v>0</v>
      </c>
      <c r="BH40" s="2">
        <v>10</v>
      </c>
      <c r="BI40" s="4">
        <v>0</v>
      </c>
      <c r="BJ40" s="4">
        <v>0</v>
      </c>
      <c r="BK40" s="4">
        <v>0</v>
      </c>
      <c r="BL40" s="4">
        <v>1637.34</v>
      </c>
      <c r="BM40" s="2"/>
      <c r="BN40" s="2" t="str">
        <f t="shared" si="11"/>
        <v>Non Admitted</v>
      </c>
      <c r="BO40" s="2" t="b">
        <v>0</v>
      </c>
      <c r="BP40" s="2" t="b">
        <v>0</v>
      </c>
      <c r="BQ40" s="2"/>
      <c r="BR40" s="2" t="str">
        <f>("Morrisville")</f>
        <v>Morrisville</v>
      </c>
      <c r="BS40" s="2" t="str">
        <f t="shared" si="26"/>
        <v>Active</v>
      </c>
      <c r="BT40" s="3">
        <v>45070</v>
      </c>
    </row>
    <row r="41" spans="1:72" x14ac:dyDescent="0.25">
      <c r="A41" s="2" t="str">
        <f>("100933")</f>
        <v>100933</v>
      </c>
      <c r="B41" s="2" t="str">
        <f>("TIBAAN 0009015-00")</f>
        <v>TIBAAN 0009015-00</v>
      </c>
      <c r="C41" s="2" t="str">
        <f>("RRS Company Inc.")</f>
        <v>RRS Company Inc.</v>
      </c>
      <c r="D41" s="2" t="str">
        <f>("")</f>
        <v/>
      </c>
      <c r="E41" s="2" t="str">
        <f>("")</f>
        <v/>
      </c>
      <c r="F41" s="2" t="str">
        <f>("")</f>
        <v/>
      </c>
      <c r="G41" s="2" t="b">
        <v>0</v>
      </c>
      <c r="H41" s="2" t="str">
        <f>("INV45395")</f>
        <v>INV45395</v>
      </c>
      <c r="I41" s="3">
        <v>45070</v>
      </c>
      <c r="J41" s="3">
        <v>45070</v>
      </c>
      <c r="K41" s="3">
        <v>45436</v>
      </c>
      <c r="L41" s="2">
        <v>25</v>
      </c>
      <c r="M41" s="2">
        <v>15</v>
      </c>
      <c r="N41" s="4">
        <v>5943</v>
      </c>
      <c r="O41" s="4">
        <v>0</v>
      </c>
      <c r="P41" s="4">
        <v>0</v>
      </c>
      <c r="Q41" s="4">
        <v>594.29999999999995</v>
      </c>
      <c r="R41" s="2">
        <v>10</v>
      </c>
      <c r="S41" s="4">
        <v>1485.75</v>
      </c>
      <c r="T41" s="4">
        <v>891.45</v>
      </c>
      <c r="U41" s="2" t="b">
        <v>0</v>
      </c>
      <c r="V41" s="2">
        <v>100</v>
      </c>
      <c r="W41" s="2" t="str">
        <f>("BEA1195")</f>
        <v>BEA1195</v>
      </c>
      <c r="X41" s="2" t="str">
        <f>("The James A Gardner Company, Inc")</f>
        <v>The James A Gardner Company, Inc</v>
      </c>
      <c r="Y41" s="2" t="str">
        <f>("GA - Marietta")</f>
        <v>GA - Marietta</v>
      </c>
      <c r="Z41" s="2" t="str">
        <f t="shared" si="0"/>
        <v>Active</v>
      </c>
      <c r="AA41" s="2" t="str">
        <f>("Nicole Banks")</f>
        <v>Nicole Banks</v>
      </c>
      <c r="AB41" s="2" t="str">
        <f t="shared" si="20"/>
        <v>mrk21</v>
      </c>
      <c r="AC41" s="2" t="str">
        <f t="shared" si="21"/>
        <v>Transverse Insurance Company</v>
      </c>
      <c r="AD41" s="2" t="str">
        <f t="shared" si="1"/>
        <v>Active</v>
      </c>
      <c r="AE41" s="2" t="str">
        <f t="shared" si="22"/>
        <v>rsk57</v>
      </c>
      <c r="AF41" s="2" t="str">
        <f t="shared" si="23"/>
        <v>Transverse Insurance Company</v>
      </c>
      <c r="AG41" s="2" t="str">
        <f>("")</f>
        <v/>
      </c>
      <c r="AH41" s="2" t="str">
        <f>("")</f>
        <v/>
      </c>
      <c r="AI41" s="2" t="str">
        <f t="shared" si="2"/>
        <v>Beacon</v>
      </c>
      <c r="AJ41" s="2" t="str">
        <f>("Kate Rouker")</f>
        <v>Kate Rouker</v>
      </c>
      <c r="AK41" s="2" t="str">
        <f t="shared" si="3"/>
        <v xml:space="preserve"> </v>
      </c>
      <c r="AL41" s="2" t="str">
        <f t="shared" si="4"/>
        <v>Beacon Aviation Insurance Services - FL</v>
      </c>
      <c r="AM41" s="2" t="str">
        <f>("Deborah Stafford")</f>
        <v>Deborah Stafford</v>
      </c>
      <c r="AN41" s="2" t="str">
        <f t="shared" si="6"/>
        <v xml:space="preserve"> </v>
      </c>
      <c r="AO41" s="2" t="str">
        <f t="shared" si="7"/>
        <v xml:space="preserve">Beacon Aviation Insurance Services </v>
      </c>
      <c r="AP41" s="2" t="str">
        <f t="shared" si="12"/>
        <v>Aircraft</v>
      </c>
      <c r="AQ41" s="2" t="str">
        <f t="shared" si="24"/>
        <v>Non-Commercial</v>
      </c>
      <c r="AR41" s="2" t="str">
        <f>("New Business")</f>
        <v>New Business</v>
      </c>
      <c r="AS41" s="2" t="str">
        <f t="shared" si="8"/>
        <v>New Business</v>
      </c>
      <c r="AT41" s="2"/>
      <c r="AU41" s="2"/>
      <c r="AV41" s="2" t="str">
        <f>("GA")</f>
        <v>GA</v>
      </c>
      <c r="AW41" s="3">
        <v>45064</v>
      </c>
      <c r="AX41" s="3">
        <v>45069</v>
      </c>
      <c r="AY41" s="3">
        <v>45069</v>
      </c>
      <c r="AZ41" s="2" t="b">
        <v>0</v>
      </c>
      <c r="BA41" s="2" t="b">
        <v>0</v>
      </c>
      <c r="BB41" s="2" t="str">
        <f t="shared" si="9"/>
        <v>Brokerage</v>
      </c>
      <c r="BC41" s="2" t="b">
        <v>0</v>
      </c>
      <c r="BD41" s="2" t="str">
        <f t="shared" si="10"/>
        <v>We File</v>
      </c>
      <c r="BE41" s="2" t="str">
        <f>("1640 Powers Ferry Rd., Bldg 14")</f>
        <v>1640 Powers Ferry Rd., Bldg 14</v>
      </c>
      <c r="BF41" s="2" t="str">
        <f>("30067-")</f>
        <v>30067-</v>
      </c>
      <c r="BG41" s="4">
        <v>0</v>
      </c>
      <c r="BH41" s="2">
        <v>10</v>
      </c>
      <c r="BI41" s="4">
        <v>0</v>
      </c>
      <c r="BJ41" s="4">
        <v>0</v>
      </c>
      <c r="BK41" s="4">
        <v>0</v>
      </c>
      <c r="BL41" s="4">
        <v>594.29999999999995</v>
      </c>
      <c r="BM41" s="2"/>
      <c r="BN41" s="2" t="str">
        <f t="shared" si="11"/>
        <v>Non Admitted</v>
      </c>
      <c r="BO41" s="2" t="b">
        <v>0</v>
      </c>
      <c r="BP41" s="2" t="b">
        <v>0</v>
      </c>
      <c r="BQ41" s="2"/>
      <c r="BR41" s="2" t="str">
        <f>("Fayetteville")</f>
        <v>Fayetteville</v>
      </c>
      <c r="BS41" s="2" t="str">
        <f t="shared" si="26"/>
        <v>Active</v>
      </c>
      <c r="BT41" s="3">
        <v>45070</v>
      </c>
    </row>
    <row r="42" spans="1:72" x14ac:dyDescent="0.25">
      <c r="A42" s="2" t="str">
        <f>("099220")</f>
        <v>099220</v>
      </c>
      <c r="B42" s="2" t="str">
        <f>("TIBAAN 0009018-00")</f>
        <v>TIBAAN 0009018-00</v>
      </c>
      <c r="C42" s="2" t="str">
        <f>("PC Rental LLC")</f>
        <v>PC Rental LLC</v>
      </c>
      <c r="D42" s="2" t="str">
        <f>("")</f>
        <v/>
      </c>
      <c r="E42" s="2" t="str">
        <f>("")</f>
        <v/>
      </c>
      <c r="F42" s="2" t="str">
        <f>("")</f>
        <v/>
      </c>
      <c r="G42" s="2" t="b">
        <v>0</v>
      </c>
      <c r="H42" s="2" t="str">
        <f>("INV46148")</f>
        <v>INV46148</v>
      </c>
      <c r="I42" s="3">
        <v>45071</v>
      </c>
      <c r="J42" s="3">
        <v>45071</v>
      </c>
      <c r="K42" s="3">
        <v>45437</v>
      </c>
      <c r="L42" s="2">
        <v>25</v>
      </c>
      <c r="M42" s="2">
        <v>15</v>
      </c>
      <c r="N42" s="4">
        <v>5079</v>
      </c>
      <c r="O42" s="4">
        <v>0</v>
      </c>
      <c r="P42" s="4">
        <v>0</v>
      </c>
      <c r="Q42" s="4">
        <v>507.9</v>
      </c>
      <c r="R42" s="2">
        <v>10</v>
      </c>
      <c r="S42" s="4">
        <v>1269.75</v>
      </c>
      <c r="T42" s="4">
        <v>761.85</v>
      </c>
      <c r="U42" s="2" t="b">
        <v>0</v>
      </c>
      <c r="V42" s="2">
        <v>100</v>
      </c>
      <c r="W42" s="2" t="str">
        <f>("BEA1166")</f>
        <v>BEA1166</v>
      </c>
      <c r="X42" s="2" t="str">
        <f>("Wings Insurance ")</f>
        <v xml:space="preserve">Wings Insurance </v>
      </c>
      <c r="Y42" s="2" t="str">
        <f>("MN - Eden Prairie")</f>
        <v>MN - Eden Prairie</v>
      </c>
      <c r="Z42" s="2" t="str">
        <f t="shared" si="0"/>
        <v>Active</v>
      </c>
      <c r="AA42" s="2" t="str">
        <f>("Kathleen Winkelhaus")</f>
        <v>Kathleen Winkelhaus</v>
      </c>
      <c r="AB42" s="2" t="str">
        <f t="shared" si="20"/>
        <v>mrk21</v>
      </c>
      <c r="AC42" s="2" t="str">
        <f t="shared" si="21"/>
        <v>Transverse Insurance Company</v>
      </c>
      <c r="AD42" s="2" t="str">
        <f t="shared" si="1"/>
        <v>Active</v>
      </c>
      <c r="AE42" s="2" t="str">
        <f t="shared" si="22"/>
        <v>rsk57</v>
      </c>
      <c r="AF42" s="2" t="str">
        <f t="shared" si="23"/>
        <v>Transverse Insurance Company</v>
      </c>
      <c r="AG42" s="2" t="str">
        <f>("")</f>
        <v/>
      </c>
      <c r="AH42" s="2" t="str">
        <f>("")</f>
        <v/>
      </c>
      <c r="AI42" s="2" t="str">
        <f t="shared" si="2"/>
        <v>Beacon</v>
      </c>
      <c r="AJ42" s="2" t="str">
        <f>("Beacon GA UW")</f>
        <v>Beacon GA UW</v>
      </c>
      <c r="AK42" s="2" t="str">
        <f t="shared" si="3"/>
        <v xml:space="preserve"> </v>
      </c>
      <c r="AL42" s="2" t="str">
        <f t="shared" si="4"/>
        <v>Beacon Aviation Insurance Services - FL</v>
      </c>
      <c r="AM42" s="2" t="str">
        <f>("Deborah Stafford")</f>
        <v>Deborah Stafford</v>
      </c>
      <c r="AN42" s="2" t="str">
        <f t="shared" si="6"/>
        <v xml:space="preserve"> </v>
      </c>
      <c r="AO42" s="2" t="str">
        <f t="shared" si="7"/>
        <v xml:space="preserve">Beacon Aviation Insurance Services </v>
      </c>
      <c r="AP42" s="2" t="str">
        <f t="shared" si="12"/>
        <v>Aircraft</v>
      </c>
      <c r="AQ42" s="2" t="str">
        <f t="shared" si="24"/>
        <v>Non-Commercial</v>
      </c>
      <c r="AR42" s="2" t="str">
        <f>("New Business")</f>
        <v>New Business</v>
      </c>
      <c r="AS42" s="2" t="str">
        <f t="shared" si="8"/>
        <v>New Business</v>
      </c>
      <c r="AT42" s="2"/>
      <c r="AU42" s="2"/>
      <c r="AV42" s="2" t="str">
        <f>("MN")</f>
        <v>MN</v>
      </c>
      <c r="AW42" s="3">
        <v>45049</v>
      </c>
      <c r="AX42" s="3">
        <v>45071</v>
      </c>
      <c r="AY42" s="3">
        <v>45071</v>
      </c>
      <c r="AZ42" s="2" t="b">
        <v>0</v>
      </c>
      <c r="BA42" s="2" t="b">
        <v>0</v>
      </c>
      <c r="BB42" s="2" t="str">
        <f t="shared" si="9"/>
        <v>Brokerage</v>
      </c>
      <c r="BC42" s="2" t="b">
        <v>0</v>
      </c>
      <c r="BD42" s="2" t="str">
        <f t="shared" si="10"/>
        <v>We File</v>
      </c>
      <c r="BE42" s="2" t="str">
        <f>("14871 Pioneer Trail")</f>
        <v>14871 Pioneer Trail</v>
      </c>
      <c r="BF42" s="2" t="str">
        <f>("55347")</f>
        <v>55347</v>
      </c>
      <c r="BG42" s="4">
        <v>0</v>
      </c>
      <c r="BH42" s="2">
        <v>10</v>
      </c>
      <c r="BI42" s="4">
        <v>0</v>
      </c>
      <c r="BJ42" s="4">
        <v>0</v>
      </c>
      <c r="BK42" s="4">
        <v>0</v>
      </c>
      <c r="BL42" s="4">
        <v>507.9</v>
      </c>
      <c r="BM42" s="2"/>
      <c r="BN42" s="2" t="str">
        <f t="shared" si="11"/>
        <v>Non Admitted</v>
      </c>
      <c r="BO42" s="2" t="b">
        <v>0</v>
      </c>
      <c r="BP42" s="2" t="b">
        <v>0</v>
      </c>
      <c r="BQ42" s="2"/>
      <c r="BR42" s="2" t="str">
        <f>("Ely")</f>
        <v>Ely</v>
      </c>
      <c r="BS42" s="2" t="str">
        <f t="shared" si="26"/>
        <v>Active</v>
      </c>
      <c r="BT42" s="3">
        <v>45071</v>
      </c>
    </row>
    <row r="43" spans="1:72" x14ac:dyDescent="0.25">
      <c r="A43" s="2" t="str">
        <f>("101722")</f>
        <v>101722</v>
      </c>
      <c r="B43" s="2" t="str">
        <f>("TIBAAN 0009017-00")</f>
        <v>TIBAAN 0009017-00</v>
      </c>
      <c r="C43" s="2" t="str">
        <f>("CB Aviation, LLC")</f>
        <v>CB Aviation, LLC</v>
      </c>
      <c r="D43" s="2" t="str">
        <f>("")</f>
        <v/>
      </c>
      <c r="E43" s="2" t="str">
        <f>("")</f>
        <v/>
      </c>
      <c r="F43" s="2" t="str">
        <f>("")</f>
        <v/>
      </c>
      <c r="G43" s="2" t="b">
        <v>0</v>
      </c>
      <c r="H43" s="2" t="str">
        <f>("INV46080")</f>
        <v>INV46080</v>
      </c>
      <c r="I43" s="3">
        <v>45071</v>
      </c>
      <c r="J43" s="3">
        <v>45071</v>
      </c>
      <c r="K43" s="3">
        <v>45437</v>
      </c>
      <c r="L43" s="2">
        <v>25</v>
      </c>
      <c r="M43" s="2">
        <v>15</v>
      </c>
      <c r="N43" s="4">
        <v>17037</v>
      </c>
      <c r="O43" s="4">
        <v>0</v>
      </c>
      <c r="P43" s="4">
        <v>0</v>
      </c>
      <c r="Q43" s="4">
        <v>1703.7</v>
      </c>
      <c r="R43" s="2">
        <v>10</v>
      </c>
      <c r="S43" s="4">
        <v>4259.25</v>
      </c>
      <c r="T43" s="4">
        <v>2555.5500000000002</v>
      </c>
      <c r="U43" s="2" t="b">
        <v>0</v>
      </c>
      <c r="V43" s="2">
        <v>100</v>
      </c>
      <c r="W43" s="2" t="str">
        <f>("BEA1195")</f>
        <v>BEA1195</v>
      </c>
      <c r="X43" s="2" t="str">
        <f>("The James A Gardner Company, Inc")</f>
        <v>The James A Gardner Company, Inc</v>
      </c>
      <c r="Y43" s="2" t="str">
        <f>("GA - Marietta")</f>
        <v>GA - Marietta</v>
      </c>
      <c r="Z43" s="2" t="str">
        <f t="shared" si="0"/>
        <v>Active</v>
      </c>
      <c r="AA43" s="2" t="str">
        <f>("Nicole Banks")</f>
        <v>Nicole Banks</v>
      </c>
      <c r="AB43" s="2" t="str">
        <f t="shared" si="20"/>
        <v>mrk21</v>
      </c>
      <c r="AC43" s="2" t="str">
        <f t="shared" si="21"/>
        <v>Transverse Insurance Company</v>
      </c>
      <c r="AD43" s="2" t="str">
        <f t="shared" si="1"/>
        <v>Active</v>
      </c>
      <c r="AE43" s="2" t="str">
        <f t="shared" si="22"/>
        <v>rsk57</v>
      </c>
      <c r="AF43" s="2" t="str">
        <f t="shared" si="23"/>
        <v>Transverse Insurance Company</v>
      </c>
      <c r="AG43" s="2" t="str">
        <f>("")</f>
        <v/>
      </c>
      <c r="AH43" s="2" t="str">
        <f>("")</f>
        <v/>
      </c>
      <c r="AI43" s="2" t="str">
        <f t="shared" si="2"/>
        <v>Beacon</v>
      </c>
      <c r="AJ43" s="2" t="str">
        <f>("Britt Kral")</f>
        <v>Britt Kral</v>
      </c>
      <c r="AK43" s="2" t="str">
        <f t="shared" si="3"/>
        <v xml:space="preserve"> </v>
      </c>
      <c r="AL43" s="2" t="str">
        <f t="shared" si="4"/>
        <v>Beacon Aviation Insurance Services - FL</v>
      </c>
      <c r="AM43" s="2" t="str">
        <f>("Sharon Woods")</f>
        <v>Sharon Woods</v>
      </c>
      <c r="AN43" s="2" t="str">
        <f t="shared" si="6"/>
        <v xml:space="preserve"> </v>
      </c>
      <c r="AO43" s="2" t="str">
        <f t="shared" si="7"/>
        <v xml:space="preserve">Beacon Aviation Insurance Services </v>
      </c>
      <c r="AP43" s="2" t="str">
        <f t="shared" si="12"/>
        <v>Aircraft</v>
      </c>
      <c r="AQ43" s="2" t="str">
        <f t="shared" si="24"/>
        <v>Non-Commercial</v>
      </c>
      <c r="AR43" s="2" t="str">
        <f>("New Business")</f>
        <v>New Business</v>
      </c>
      <c r="AS43" s="2" t="str">
        <f t="shared" si="8"/>
        <v>New Business</v>
      </c>
      <c r="AT43" s="2"/>
      <c r="AU43" s="2"/>
      <c r="AV43" s="2" t="str">
        <f>("GA")</f>
        <v>GA</v>
      </c>
      <c r="AW43" s="3">
        <v>45071</v>
      </c>
      <c r="AX43" s="3">
        <v>45071</v>
      </c>
      <c r="AY43" s="3">
        <v>45071</v>
      </c>
      <c r="AZ43" s="2" t="b">
        <v>0</v>
      </c>
      <c r="BA43" s="2" t="b">
        <v>0</v>
      </c>
      <c r="BB43" s="2" t="str">
        <f t="shared" si="9"/>
        <v>Brokerage</v>
      </c>
      <c r="BC43" s="2" t="b">
        <v>0</v>
      </c>
      <c r="BD43" s="2" t="str">
        <f t="shared" si="10"/>
        <v>We File</v>
      </c>
      <c r="BE43" s="2" t="str">
        <f>("1640 Powers Ferry Rd., Bldg 14")</f>
        <v>1640 Powers Ferry Rd., Bldg 14</v>
      </c>
      <c r="BF43" s="2" t="str">
        <f>("30067-")</f>
        <v>30067-</v>
      </c>
      <c r="BG43" s="4">
        <v>0</v>
      </c>
      <c r="BH43" s="2">
        <v>10</v>
      </c>
      <c r="BI43" s="4">
        <v>0</v>
      </c>
      <c r="BJ43" s="4">
        <v>0</v>
      </c>
      <c r="BK43" s="4">
        <v>0</v>
      </c>
      <c r="BL43" s="4">
        <v>1703.7</v>
      </c>
      <c r="BM43" s="2"/>
      <c r="BN43" s="2" t="str">
        <f t="shared" si="11"/>
        <v>Non Admitted</v>
      </c>
      <c r="BO43" s="2" t="b">
        <v>0</v>
      </c>
      <c r="BP43" s="2" t="b">
        <v>0</v>
      </c>
      <c r="BQ43" s="2"/>
      <c r="BR43" s="2" t="str">
        <f>("Conyers")</f>
        <v>Conyers</v>
      </c>
      <c r="BS43" s="2" t="str">
        <f t="shared" si="26"/>
        <v>Active</v>
      </c>
      <c r="BT43" s="3">
        <v>45071</v>
      </c>
    </row>
    <row r="44" spans="1:72" x14ac:dyDescent="0.25">
      <c r="A44" s="2" t="str">
        <f>("097702")</f>
        <v>097702</v>
      </c>
      <c r="B44" s="2" t="str">
        <f>("TIBAAN 0000087-00")</f>
        <v>TIBAAN 0000087-00</v>
      </c>
      <c r="C44" s="2" t="str">
        <f>("Gambill Aviation, LLC")</f>
        <v>Gambill Aviation, LLC</v>
      </c>
      <c r="D44" s="2" t="str">
        <f>("")</f>
        <v/>
      </c>
      <c r="E44" s="2" t="str">
        <f>("")</f>
        <v/>
      </c>
      <c r="F44" s="2" t="str">
        <f>("Endorsement")</f>
        <v>Endorsement</v>
      </c>
      <c r="G44" s="2" t="b">
        <v>0</v>
      </c>
      <c r="H44" s="2" t="str">
        <f>("INV46601")</f>
        <v>INV46601</v>
      </c>
      <c r="I44" s="3">
        <v>45076</v>
      </c>
      <c r="J44" s="3">
        <v>45034</v>
      </c>
      <c r="K44" s="3">
        <v>45400</v>
      </c>
      <c r="L44" s="2">
        <v>25</v>
      </c>
      <c r="M44" s="2">
        <v>15</v>
      </c>
      <c r="N44" s="4">
        <v>350</v>
      </c>
      <c r="O44" s="4">
        <v>0</v>
      </c>
      <c r="P44" s="4">
        <v>0</v>
      </c>
      <c r="Q44" s="4">
        <v>35</v>
      </c>
      <c r="R44" s="2">
        <v>10</v>
      </c>
      <c r="S44" s="4">
        <v>87.5</v>
      </c>
      <c r="T44" s="4">
        <v>52.5</v>
      </c>
      <c r="U44" s="2" t="b">
        <v>0</v>
      </c>
      <c r="V44" s="2">
        <v>100</v>
      </c>
      <c r="W44" s="2" t="str">
        <f>("BEA1638")</f>
        <v>BEA1638</v>
      </c>
      <c r="X44" s="2" t="str">
        <f>("Assured Partners Aerospace LLC")</f>
        <v>Assured Partners Aerospace LLC</v>
      </c>
      <c r="Y44" s="2" t="str">
        <f>("CO - Golden")</f>
        <v>CO - Golden</v>
      </c>
      <c r="Z44" s="2" t="str">
        <f t="shared" si="0"/>
        <v>Active</v>
      </c>
      <c r="AA44" s="2" t="str">
        <f>("Tom TJ Johnson")</f>
        <v>Tom TJ Johnson</v>
      </c>
      <c r="AB44" s="2" t="str">
        <f t="shared" si="20"/>
        <v>mrk21</v>
      </c>
      <c r="AC44" s="2" t="str">
        <f t="shared" si="21"/>
        <v>Transverse Insurance Company</v>
      </c>
      <c r="AD44" s="2" t="str">
        <f t="shared" si="1"/>
        <v>Active</v>
      </c>
      <c r="AE44" s="2" t="str">
        <f t="shared" si="22"/>
        <v>rsk57</v>
      </c>
      <c r="AF44" s="2" t="str">
        <f t="shared" si="23"/>
        <v>Transverse Insurance Company</v>
      </c>
      <c r="AG44" s="2" t="str">
        <f>("")</f>
        <v/>
      </c>
      <c r="AH44" s="2" t="str">
        <f>("")</f>
        <v/>
      </c>
      <c r="AI44" s="2" t="str">
        <f t="shared" si="2"/>
        <v>Beacon</v>
      </c>
      <c r="AJ44" s="2" t="str">
        <f>("Britt Kral")</f>
        <v>Britt Kral</v>
      </c>
      <c r="AK44" s="2" t="str">
        <f t="shared" si="3"/>
        <v xml:space="preserve"> </v>
      </c>
      <c r="AL44" s="2" t="str">
        <f t="shared" si="4"/>
        <v>Beacon Aviation Insurance Services - FL</v>
      </c>
      <c r="AM44" s="2" t="str">
        <f>("Deborah Stafford")</f>
        <v>Deborah Stafford</v>
      </c>
      <c r="AN44" s="2" t="str">
        <f t="shared" si="6"/>
        <v xml:space="preserve"> </v>
      </c>
      <c r="AO44" s="2" t="str">
        <f t="shared" si="7"/>
        <v xml:space="preserve">Beacon Aviation Insurance Services </v>
      </c>
      <c r="AP44" s="2" t="str">
        <f t="shared" si="12"/>
        <v>Aircraft</v>
      </c>
      <c r="AQ44" s="2" t="str">
        <f t="shared" si="24"/>
        <v>Non-Commercial</v>
      </c>
      <c r="AR44" s="2" t="str">
        <f>("Endorsement")</f>
        <v>Endorsement</v>
      </c>
      <c r="AS44" s="2" t="str">
        <f t="shared" si="8"/>
        <v>New Business</v>
      </c>
      <c r="AT44" s="2"/>
      <c r="AU44" s="2"/>
      <c r="AV44" s="2" t="str">
        <f>("LA")</f>
        <v>LA</v>
      </c>
      <c r="AW44" s="3">
        <v>45033</v>
      </c>
      <c r="AX44" s="3">
        <v>45036</v>
      </c>
      <c r="AY44" s="3">
        <v>45077</v>
      </c>
      <c r="AZ44" s="2" t="b">
        <v>0</v>
      </c>
      <c r="BA44" s="2" t="b">
        <v>0</v>
      </c>
      <c r="BB44" s="2" t="str">
        <f t="shared" si="9"/>
        <v>Brokerage</v>
      </c>
      <c r="BC44" s="2" t="b">
        <v>0</v>
      </c>
      <c r="BD44" s="2" t="str">
        <f t="shared" si="10"/>
        <v>We File</v>
      </c>
      <c r="BE44" s="2" t="str">
        <f>("25548 Genesee Trail Road")</f>
        <v>25548 Genesee Trail Road</v>
      </c>
      <c r="BF44" s="2" t="str">
        <f>("80401")</f>
        <v>80401</v>
      </c>
      <c r="BG44" s="4">
        <v>0</v>
      </c>
      <c r="BH44" s="2">
        <v>10</v>
      </c>
      <c r="BI44" s="4">
        <v>0</v>
      </c>
      <c r="BJ44" s="4">
        <v>0</v>
      </c>
      <c r="BK44" s="4">
        <v>0</v>
      </c>
      <c r="BL44" s="4">
        <v>35</v>
      </c>
      <c r="BM44" s="2"/>
      <c r="BN44" s="2" t="str">
        <f t="shared" si="11"/>
        <v>Non Admitted</v>
      </c>
      <c r="BO44" s="2" t="b">
        <v>0</v>
      </c>
      <c r="BP44" s="2" t="b">
        <v>0</v>
      </c>
      <c r="BQ44" s="2"/>
      <c r="BR44" s="2" t="str">
        <f>("Shreveport")</f>
        <v>Shreveport</v>
      </c>
      <c r="BS44" s="2" t="str">
        <f t="shared" si="26"/>
        <v>Active</v>
      </c>
      <c r="BT44" s="3">
        <v>45076</v>
      </c>
    </row>
    <row r="45" spans="1:72" x14ac:dyDescent="0.25">
      <c r="A45" s="2" t="str">
        <f>("102027")</f>
        <v>102027</v>
      </c>
      <c r="B45" s="2" t="str">
        <f>("TIBAAN 0009021-00")</f>
        <v>TIBAAN 0009021-00</v>
      </c>
      <c r="C45" s="2" t="str">
        <f>("Benjamin Doyle")</f>
        <v>Benjamin Doyle</v>
      </c>
      <c r="D45" s="2" t="str">
        <f>("")</f>
        <v/>
      </c>
      <c r="E45" s="2" t="str">
        <f>("")</f>
        <v/>
      </c>
      <c r="F45" s="2" t="str">
        <f>("")</f>
        <v/>
      </c>
      <c r="G45" s="2" t="b">
        <v>0</v>
      </c>
      <c r="H45" s="2" t="str">
        <f>("INV46609")</f>
        <v>INV46609</v>
      </c>
      <c r="I45" s="3">
        <v>45076</v>
      </c>
      <c r="J45" s="3">
        <v>45076</v>
      </c>
      <c r="K45" s="3">
        <v>45442</v>
      </c>
      <c r="L45" s="2">
        <v>25</v>
      </c>
      <c r="M45" s="2">
        <v>15</v>
      </c>
      <c r="N45" s="4">
        <v>4240</v>
      </c>
      <c r="O45" s="4">
        <v>84.8</v>
      </c>
      <c r="P45" s="4">
        <v>0</v>
      </c>
      <c r="Q45" s="4">
        <v>424</v>
      </c>
      <c r="R45" s="2">
        <v>10</v>
      </c>
      <c r="S45" s="4">
        <v>1060</v>
      </c>
      <c r="T45" s="4">
        <v>636</v>
      </c>
      <c r="U45" s="2" t="b">
        <v>0</v>
      </c>
      <c r="V45" s="2">
        <v>100</v>
      </c>
      <c r="W45" s="2" t="str">
        <f>("BEA1131")</f>
        <v>BEA1131</v>
      </c>
      <c r="X45" s="2" t="str">
        <f>("Travers &amp; Associates")</f>
        <v>Travers &amp; Associates</v>
      </c>
      <c r="Y45" s="2" t="str">
        <f>("MO - Saint Louis")</f>
        <v>MO - Saint Louis</v>
      </c>
      <c r="Z45" s="2" t="str">
        <f t="shared" si="0"/>
        <v>Active</v>
      </c>
      <c r="AA45" s="2" t="str">
        <f>("Madison Clipp")</f>
        <v>Madison Clipp</v>
      </c>
      <c r="AB45" s="2" t="str">
        <f t="shared" si="20"/>
        <v>mrk21</v>
      </c>
      <c r="AC45" s="2" t="str">
        <f t="shared" si="21"/>
        <v>Transverse Insurance Company</v>
      </c>
      <c r="AD45" s="2" t="str">
        <f t="shared" si="1"/>
        <v>Active</v>
      </c>
      <c r="AE45" s="2" t="str">
        <f t="shared" si="22"/>
        <v>rsk57</v>
      </c>
      <c r="AF45" s="2" t="str">
        <f t="shared" si="23"/>
        <v>Transverse Insurance Company</v>
      </c>
      <c r="AG45" s="2" t="str">
        <f>("")</f>
        <v/>
      </c>
      <c r="AH45" s="2" t="str">
        <f>("")</f>
        <v/>
      </c>
      <c r="AI45" s="2" t="str">
        <f t="shared" si="2"/>
        <v>Beacon</v>
      </c>
      <c r="AJ45" s="2" t="str">
        <f>("Britt Kral")</f>
        <v>Britt Kral</v>
      </c>
      <c r="AK45" s="2" t="str">
        <f t="shared" si="3"/>
        <v xml:space="preserve"> </v>
      </c>
      <c r="AL45" s="2" t="str">
        <f t="shared" si="4"/>
        <v>Beacon Aviation Insurance Services - FL</v>
      </c>
      <c r="AM45" s="2" t="str">
        <f>("Deborah Stafford")</f>
        <v>Deborah Stafford</v>
      </c>
      <c r="AN45" s="2" t="str">
        <f t="shared" si="6"/>
        <v xml:space="preserve"> </v>
      </c>
      <c r="AO45" s="2" t="str">
        <f t="shared" si="7"/>
        <v xml:space="preserve">Beacon Aviation Insurance Services </v>
      </c>
      <c r="AP45" s="2" t="str">
        <f t="shared" si="12"/>
        <v>Aircraft</v>
      </c>
      <c r="AQ45" s="2" t="str">
        <f t="shared" si="24"/>
        <v>Non-Commercial</v>
      </c>
      <c r="AR45" s="2" t="str">
        <f>("New Business")</f>
        <v>New Business</v>
      </c>
      <c r="AS45" s="2" t="str">
        <f t="shared" si="8"/>
        <v>New Business</v>
      </c>
      <c r="AT45" s="2"/>
      <c r="AU45" s="2"/>
      <c r="AV45" s="2" t="str">
        <f>("FL")</f>
        <v>FL</v>
      </c>
      <c r="AW45" s="3">
        <v>45077</v>
      </c>
      <c r="AX45" s="3">
        <v>45077</v>
      </c>
      <c r="AY45" s="3">
        <v>45077</v>
      </c>
      <c r="AZ45" s="2" t="b">
        <v>0</v>
      </c>
      <c r="BA45" s="2" t="b">
        <v>0</v>
      </c>
      <c r="BB45" s="2" t="str">
        <f t="shared" si="9"/>
        <v>Brokerage</v>
      </c>
      <c r="BC45" s="2" t="b">
        <v>0</v>
      </c>
      <c r="BD45" s="2" t="str">
        <f t="shared" si="10"/>
        <v>We File</v>
      </c>
      <c r="BE45" s="2" t="str">
        <f>("PO Box 220519")</f>
        <v>PO Box 220519</v>
      </c>
      <c r="BF45" s="2" t="str">
        <f>("63122")</f>
        <v>63122</v>
      </c>
      <c r="BG45" s="4">
        <v>0</v>
      </c>
      <c r="BH45" s="2">
        <v>10</v>
      </c>
      <c r="BI45" s="4">
        <v>0</v>
      </c>
      <c r="BJ45" s="4">
        <v>0</v>
      </c>
      <c r="BK45" s="4">
        <v>0</v>
      </c>
      <c r="BL45" s="4">
        <v>424</v>
      </c>
      <c r="BM45" s="2"/>
      <c r="BN45" s="2" t="str">
        <f t="shared" si="11"/>
        <v>Non Admitted</v>
      </c>
      <c r="BO45" s="2" t="b">
        <v>0</v>
      </c>
      <c r="BP45" s="2" t="b">
        <v>0</v>
      </c>
      <c r="BQ45" s="2"/>
      <c r="BR45" s="2" t="str">
        <f>("Crestview")</f>
        <v>Crestview</v>
      </c>
      <c r="BS45" s="2" t="str">
        <f t="shared" si="26"/>
        <v>Active</v>
      </c>
      <c r="BT45" s="3">
        <v>45076</v>
      </c>
    </row>
    <row r="46" spans="1:72" x14ac:dyDescent="0.25">
      <c r="A46" s="2" t="str">
        <f>("100758")</f>
        <v>100758</v>
      </c>
      <c r="B46" s="2" t="str">
        <f>("TIBAAN 0009019-00")</f>
        <v>TIBAAN 0009019-00</v>
      </c>
      <c r="C46" s="2" t="str">
        <f>("Metal Wholesale, LLC")</f>
        <v>Metal Wholesale, LLC</v>
      </c>
      <c r="D46" s="2" t="str">
        <f>("")</f>
        <v/>
      </c>
      <c r="E46" s="2" t="str">
        <f>("")</f>
        <v/>
      </c>
      <c r="F46" s="2" t="str">
        <f>("")</f>
        <v/>
      </c>
      <c r="G46" s="2" t="b">
        <v>0</v>
      </c>
      <c r="H46" s="2" t="str">
        <f>("INV46992")</f>
        <v>INV46992</v>
      </c>
      <c r="I46" s="3">
        <v>45077</v>
      </c>
      <c r="J46" s="3">
        <v>45077</v>
      </c>
      <c r="K46" s="3">
        <v>45443</v>
      </c>
      <c r="L46" s="2">
        <v>25</v>
      </c>
      <c r="M46" s="2">
        <v>15</v>
      </c>
      <c r="N46" s="4">
        <v>8790</v>
      </c>
      <c r="O46" s="4">
        <v>0</v>
      </c>
      <c r="P46" s="4">
        <v>0</v>
      </c>
      <c r="Q46" s="4">
        <v>879</v>
      </c>
      <c r="R46" s="2">
        <v>10</v>
      </c>
      <c r="S46" s="4">
        <v>2197.5</v>
      </c>
      <c r="T46" s="4">
        <v>1318.5</v>
      </c>
      <c r="U46" s="2" t="b">
        <v>0</v>
      </c>
      <c r="V46" s="2">
        <v>100</v>
      </c>
      <c r="W46" s="2" t="str">
        <f>("BEA1166")</f>
        <v>BEA1166</v>
      </c>
      <c r="X46" s="2" t="str">
        <f>("Wings Insurance ")</f>
        <v xml:space="preserve">Wings Insurance </v>
      </c>
      <c r="Y46" s="2" t="str">
        <f>("MN - Eden Prairie")</f>
        <v>MN - Eden Prairie</v>
      </c>
      <c r="Z46" s="2" t="str">
        <f t="shared" si="0"/>
        <v>Active</v>
      </c>
      <c r="AA46" s="2" t="str">
        <f>("Mikaela Sandager")</f>
        <v>Mikaela Sandager</v>
      </c>
      <c r="AB46" s="2" t="str">
        <f t="shared" si="20"/>
        <v>mrk21</v>
      </c>
      <c r="AC46" s="2" t="str">
        <f t="shared" si="21"/>
        <v>Transverse Insurance Company</v>
      </c>
      <c r="AD46" s="2" t="str">
        <f t="shared" si="1"/>
        <v>Active</v>
      </c>
      <c r="AE46" s="2" t="str">
        <f t="shared" si="22"/>
        <v>rsk57</v>
      </c>
      <c r="AF46" s="2" t="str">
        <f t="shared" si="23"/>
        <v>Transverse Insurance Company</v>
      </c>
      <c r="AG46" s="2" t="str">
        <f>("")</f>
        <v/>
      </c>
      <c r="AH46" s="2" t="str">
        <f>("")</f>
        <v/>
      </c>
      <c r="AI46" s="2" t="str">
        <f t="shared" si="2"/>
        <v>Beacon</v>
      </c>
      <c r="AJ46" s="2" t="str">
        <f>("Beacon GA UW")</f>
        <v>Beacon GA UW</v>
      </c>
      <c r="AK46" s="2" t="str">
        <f t="shared" si="3"/>
        <v xml:space="preserve"> </v>
      </c>
      <c r="AL46" s="2" t="str">
        <f t="shared" si="4"/>
        <v>Beacon Aviation Insurance Services - FL</v>
      </c>
      <c r="AM46" s="2" t="str">
        <f>("Deborah Stafford")</f>
        <v>Deborah Stafford</v>
      </c>
      <c r="AN46" s="2" t="str">
        <f t="shared" si="6"/>
        <v xml:space="preserve"> </v>
      </c>
      <c r="AO46" s="2" t="str">
        <f t="shared" si="7"/>
        <v xml:space="preserve">Beacon Aviation Insurance Services </v>
      </c>
      <c r="AP46" s="2" t="str">
        <f t="shared" si="12"/>
        <v>Aircraft</v>
      </c>
      <c r="AQ46" s="2" t="str">
        <f t="shared" si="24"/>
        <v>Non-Commercial</v>
      </c>
      <c r="AR46" s="2" t="str">
        <f>("New Business")</f>
        <v>New Business</v>
      </c>
      <c r="AS46" s="2" t="str">
        <f t="shared" si="8"/>
        <v>New Business</v>
      </c>
      <c r="AT46" s="2"/>
      <c r="AU46" s="2"/>
      <c r="AV46" s="2" t="str">
        <f>("IA")</f>
        <v>IA</v>
      </c>
      <c r="AW46" s="3">
        <v>45062</v>
      </c>
      <c r="AX46" s="3">
        <v>45078</v>
      </c>
      <c r="AY46" s="3">
        <v>45078</v>
      </c>
      <c r="AZ46" s="2" t="b">
        <v>0</v>
      </c>
      <c r="BA46" s="2" t="b">
        <v>0</v>
      </c>
      <c r="BB46" s="2" t="str">
        <f t="shared" si="9"/>
        <v>Brokerage</v>
      </c>
      <c r="BC46" s="2" t="b">
        <v>0</v>
      </c>
      <c r="BD46" s="2" t="str">
        <f t="shared" si="10"/>
        <v>We File</v>
      </c>
      <c r="BE46" s="2" t="str">
        <f>("14871 Pioneer Trail")</f>
        <v>14871 Pioneer Trail</v>
      </c>
      <c r="BF46" s="2" t="str">
        <f>("55347")</f>
        <v>55347</v>
      </c>
      <c r="BG46" s="4">
        <v>0</v>
      </c>
      <c r="BH46" s="2">
        <v>10</v>
      </c>
      <c r="BI46" s="4">
        <v>0</v>
      </c>
      <c r="BJ46" s="4">
        <v>0</v>
      </c>
      <c r="BK46" s="4">
        <v>0</v>
      </c>
      <c r="BL46" s="4">
        <v>879</v>
      </c>
      <c r="BM46" s="2"/>
      <c r="BN46" s="2" t="str">
        <f t="shared" si="11"/>
        <v>Non Admitted</v>
      </c>
      <c r="BO46" s="2" t="b">
        <v>0</v>
      </c>
      <c r="BP46" s="2" t="b">
        <v>0</v>
      </c>
      <c r="BQ46" s="2"/>
      <c r="BR46" s="2" t="str">
        <f>("Bloomfield")</f>
        <v>Bloomfield</v>
      </c>
      <c r="BS46" s="2" t="str">
        <f t="shared" si="26"/>
        <v>Active</v>
      </c>
      <c r="BT46" s="3">
        <v>45077</v>
      </c>
    </row>
    <row r="47" spans="1:72" ht="19.5" x14ac:dyDescent="0.3">
      <c r="A47" s="1" t="s">
        <v>72</v>
      </c>
      <c r="B47" s="1"/>
      <c r="C47" s="1"/>
      <c r="D47" s="1"/>
      <c r="E47" s="1"/>
      <c r="F47" s="1"/>
      <c r="G47" s="1"/>
      <c r="H47" s="1" t="s">
        <v>73</v>
      </c>
      <c r="I47" s="1"/>
      <c r="J47" s="1"/>
      <c r="K47" s="1"/>
      <c r="L47" s="1"/>
      <c r="M47" s="1"/>
      <c r="N47" s="5">
        <v>448042.1</v>
      </c>
      <c r="O47" s="5">
        <v>1663.36</v>
      </c>
      <c r="P47" s="5">
        <v>0</v>
      </c>
      <c r="Q47" s="5">
        <v>45171.1</v>
      </c>
      <c r="R47" s="1"/>
      <c r="S47" s="5">
        <v>112010.53</v>
      </c>
      <c r="T47" s="5">
        <v>66839.429999999993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5">
        <v>0</v>
      </c>
      <c r="BH47" s="1"/>
      <c r="BI47" s="5">
        <v>0</v>
      </c>
      <c r="BJ47" s="5">
        <v>0</v>
      </c>
      <c r="BK47" s="5">
        <v>0</v>
      </c>
      <c r="BL47" s="5">
        <v>45171.1</v>
      </c>
      <c r="BM47" s="1"/>
      <c r="BN47" s="1"/>
      <c r="BO47" s="1"/>
      <c r="BP47" s="1"/>
      <c r="BQ47" s="1"/>
      <c r="BR47" s="1"/>
      <c r="BS47" s="1"/>
      <c r="BT47" s="1"/>
    </row>
  </sheetData>
  <autoFilter ref="A1:BT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05 ALIS</vt:lpstr>
    </vt:vector>
  </TitlesOfParts>
  <Company>MSMM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2023-07-19T20:33:51Z</dcterms:created>
  <dcterms:modified xsi:type="dcterms:W3CDTF">2023-07-19T20:34:34Z</dcterms:modified>
</cp:coreProperties>
</file>